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598" activeTab="3"/>
  </bookViews>
  <sheets>
    <sheet name="квітень" sheetId="1" r:id="rId1"/>
    <sheet name="травень" sheetId="2" r:id="rId2"/>
    <sheet name="червень" sheetId="3" r:id="rId3"/>
    <sheet name="2 квартал 20" sheetId="4" r:id="rId4"/>
  </sheets>
  <definedNames>
    <definedName name="_xlnm.Print_Area" localSheetId="3">'2 квартал 20'!$A$1:$DL$7</definedName>
    <definedName name="_xlnm.Print_Area" localSheetId="0">'квітень'!$A$1:$DL$56</definedName>
    <definedName name="_xlnm.Print_Area" localSheetId="1">'травень'!$A$1:$DL$56</definedName>
    <definedName name="_xlnm.Print_Area" localSheetId="2">'червень'!$A$1:$DL$54</definedName>
  </definedNames>
  <calcPr fullCalcOnLoad="1"/>
</workbook>
</file>

<file path=xl/sharedStrings.xml><?xml version="1.0" encoding="utf-8"?>
<sst xmlns="http://schemas.openxmlformats.org/spreadsheetml/2006/main" count="833" uniqueCount="117">
  <si>
    <t>Назва закладу освіти</t>
  </si>
  <si>
    <t>№</t>
  </si>
  <si>
    <t>Покотилівський ліцей "Промінь"</t>
  </si>
  <si>
    <t>Переможанська ЗОШ</t>
  </si>
  <si>
    <t>Всього:</t>
  </si>
  <si>
    <t>СЮН</t>
  </si>
  <si>
    <t>Липецький МНВК</t>
  </si>
  <si>
    <t>Васищевський МНВК</t>
  </si>
  <si>
    <t>Будянський  ліцей</t>
  </si>
  <si>
    <t>.Височанська   ЗОШ №2</t>
  </si>
  <si>
    <t>Південний   ліцей</t>
  </si>
  <si>
    <t xml:space="preserve">Липецька ЗОШ  №2 </t>
  </si>
  <si>
    <t>Бабаї ЗОШ</t>
  </si>
  <si>
    <t>Безлюдівка ЗОШ</t>
  </si>
  <si>
    <t xml:space="preserve"> Борисівка ЗОШ</t>
  </si>
  <si>
    <t>Буди  ЗОШ №2</t>
  </si>
  <si>
    <t xml:space="preserve"> Васищеве  ЗОШ</t>
  </si>
  <si>
    <t xml:space="preserve"> Веселе ЗОШ</t>
  </si>
  <si>
    <t xml:space="preserve">Височанська ЗОШ №1 </t>
  </si>
  <si>
    <t>Вільхівська ЗОШ</t>
  </si>
  <si>
    <t xml:space="preserve">Глибочанська ЗОШ  </t>
  </si>
  <si>
    <t xml:space="preserve">Елітнянська ЗОШ </t>
  </si>
  <si>
    <t>Зеленогайська ЗОШ .</t>
  </si>
  <si>
    <t xml:space="preserve"> Кутузівська  ЗОШ</t>
  </si>
  <si>
    <t xml:space="preserve"> Лизогубівська  ЗОШ</t>
  </si>
  <si>
    <t xml:space="preserve">ЛипецькаЗОШ I-III ім.П.В.Щепкіна </t>
  </si>
  <si>
    <t xml:space="preserve"> Лук'янцівська ЗОШ</t>
  </si>
  <si>
    <t>Мало- Роганьська ЗОШ</t>
  </si>
  <si>
    <t xml:space="preserve"> Манченківська ЗОШ</t>
  </si>
  <si>
    <t>Південна ЗОШ №2</t>
  </si>
  <si>
    <t>Покотилівська  ЗОШ №2</t>
  </si>
  <si>
    <t xml:space="preserve"> Стрілечанська ЗОШ</t>
  </si>
  <si>
    <t>Хорошевська ЗОШ</t>
  </si>
  <si>
    <t xml:space="preserve"> Яковлівська  ЗОШ</t>
  </si>
  <si>
    <t>РЦДЮТ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</si>
  <si>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</si>
  <si>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</si>
  <si>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</si>
  <si>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</si>
  <si>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Поточний ремонт авто</t>
  </si>
  <si>
    <t>Страховка авто та водія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</si>
  <si>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</si>
  <si>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</si>
  <si>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</si>
  <si>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</si>
  <si>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</si>
  <si>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</si>
  <si>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</si>
  <si>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</si>
  <si>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Послуги в сфері інформатизації замовлень про освіту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</si>
  <si>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</si>
  <si>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</si>
  <si>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</si>
  <si>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</si>
  <si>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Разом (070201) 0611020:</t>
  </si>
  <si>
    <t>(70202) 0611030</t>
  </si>
  <si>
    <t>(70401)0611090</t>
  </si>
  <si>
    <t>(70808)0611162</t>
  </si>
  <si>
    <t>(130107) 0615031</t>
  </si>
  <si>
    <t>(91108)0613140</t>
  </si>
  <si>
    <t>канцтовари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</si>
  <si>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</si>
  <si>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</si>
  <si>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</si>
  <si>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</si>
  <si>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</si>
  <si>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</si>
  <si>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</si>
  <si>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 xml:space="preserve">Блискавкозахист, обладнання </t>
  </si>
  <si>
    <t>Атестація робочих місць</t>
  </si>
  <si>
    <t>2230 "Продукти харчування"</t>
  </si>
  <si>
    <t>Разом 2210</t>
  </si>
  <si>
    <t>(70802)0611150 ЦКТ,Методисти,психологи</t>
  </si>
  <si>
    <t>Разом 2240</t>
  </si>
  <si>
    <t>(Фрунзе)Слобідська  ЗОШ</t>
  </si>
  <si>
    <t xml:space="preserve">(Жовтнева)Слобожанська ЗОШ </t>
  </si>
  <si>
    <t>Тернівський НВК</t>
  </si>
  <si>
    <t>Телефони, інтернет</t>
  </si>
  <si>
    <t>2111- Заробітна плата</t>
  </si>
  <si>
    <t>2120 - Нарахування на заробітну плату</t>
  </si>
  <si>
    <t>2240 - Оплата  послуг (крім комунальних)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</si>
  <si>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</si>
  <si>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</si>
  <si>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</si>
  <si>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</si>
  <si>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2275 - Оплата інших енергоносіїв та інших комунальних послуг</t>
  </si>
  <si>
    <t>2282 - Окремі заходи по реалізації державних (регіональних) програм, не віднесені до бюджету розвитку</t>
  </si>
  <si>
    <t>2730 - Інші виплати населенню</t>
  </si>
  <si>
    <t>2800 - Інші видатки</t>
  </si>
  <si>
    <t>ТПВ</t>
  </si>
  <si>
    <t>ВИВІЗ НЕЧИСТОТ</t>
  </si>
  <si>
    <t>ВУГІЛЛЯ</t>
  </si>
  <si>
    <t>2210 - Предмети, матеріали, обладнання та інвентар</t>
  </si>
  <si>
    <t>Безлюдівський юридичний ліцей</t>
  </si>
  <si>
    <t>Субвенції</t>
  </si>
  <si>
    <t>державна</t>
  </si>
  <si>
    <t>місцева</t>
  </si>
  <si>
    <t>ВСЬОГО</t>
  </si>
  <si>
    <t>разом</t>
  </si>
  <si>
    <t>всього</t>
  </si>
  <si>
    <t>Інше, обслуг. Приватбанк</t>
  </si>
  <si>
    <t>Розробка проектів АПС; обслуговування системи ПЗ</t>
  </si>
  <si>
    <t>Тех.обслуговування і повірка тепловодолічильників, перевірка роботи трифазного вузла обліку</t>
  </si>
  <si>
    <t>Поточний ремонт шкіл(водопостачання)</t>
  </si>
  <si>
    <t>будматеріали, інше (драбини,)</t>
  </si>
  <si>
    <t>кассові видатки  за  квітень 2020</t>
  </si>
  <si>
    <t>Ремонт електрообладнання, заміна трансформатору</t>
  </si>
  <si>
    <t>Обслуговування водопідготов. обладнання, поточний р-т системи водопостачання</t>
  </si>
  <si>
    <t xml:space="preserve">господарчі товари </t>
  </si>
  <si>
    <t>вогнегасники, противопож.щит, ящики для піску,сокира пожежна,багор пож.,лом пож.,лопата пож.,лопата совк.,кошма пож.,відро пож.</t>
  </si>
  <si>
    <t>кассові видатки  за травень 2020</t>
  </si>
  <si>
    <t>будматеріали, інше ()</t>
  </si>
  <si>
    <t>кассові видатки  за червень 2020</t>
  </si>
  <si>
    <t>кассові видатки  за  II квартал 2020</t>
  </si>
  <si>
    <t>класні журнали, атестати, свідоцтва</t>
  </si>
  <si>
    <t>будматеріали, інше (трансформатори)</t>
  </si>
  <si>
    <t>господарчі товари (віконний блок, безконтактні термометри, учнівскі столи)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</si>
</sst>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10" fillId="20" borderId="24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2" fontId="10" fillId="20" borderId="28" xfId="0" applyNumberFormat="1" applyFont="1" applyFill="1" applyBorder="1" applyAlignment="1">
      <alignment horizontal="center" vertical="center" wrapText="1"/>
    </xf>
    <xf numFmtId="0" fontId="10" fillId="9" borderId="2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0" borderId="29" xfId="0" applyFont="1" applyFill="1" applyBorder="1" applyAlignment="1">
      <alignment horizontal="center" vertical="center" wrapText="1"/>
    </xf>
    <xf numFmtId="2" fontId="10" fillId="20" borderId="30" xfId="0" applyNumberFormat="1" applyFont="1" applyFill="1" applyBorder="1" applyAlignment="1">
      <alignment horizontal="center" vertical="center" wrapText="1"/>
    </xf>
    <xf numFmtId="2" fontId="10" fillId="20" borderId="31" xfId="0" applyNumberFormat="1" applyFont="1" applyFill="1" applyBorder="1" applyAlignment="1">
      <alignment horizontal="center" vertical="center" wrapText="1"/>
    </xf>
    <xf numFmtId="2" fontId="10" fillId="20" borderId="29" xfId="0" applyNumberFormat="1" applyFont="1" applyFill="1" applyBorder="1" applyAlignment="1">
      <alignment horizontal="center" vertical="center" wrapText="1"/>
    </xf>
    <xf numFmtId="2" fontId="10" fillId="20" borderId="32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21" borderId="33" xfId="0" applyFont="1" applyFill="1" applyBorder="1" applyAlignment="1">
      <alignment horizontal="center" vertical="center" wrapText="1"/>
    </xf>
    <xf numFmtId="0" fontId="9" fillId="21" borderId="35" xfId="0" applyFont="1" applyFill="1" applyBorder="1" applyAlignment="1">
      <alignment horizontal="center" vertical="center" wrapText="1"/>
    </xf>
    <xf numFmtId="0" fontId="9" fillId="21" borderId="36" xfId="0" applyFont="1" applyFill="1" applyBorder="1" applyAlignment="1">
      <alignment horizontal="center" vertical="center" wrapText="1"/>
    </xf>
    <xf numFmtId="0" fontId="9" fillId="10" borderId="37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13" fillId="19" borderId="11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12" fillId="19" borderId="33" xfId="0" applyFont="1" applyFill="1" applyBorder="1" applyAlignment="1">
      <alignment horizontal="center" vertical="center" wrapText="1"/>
    </xf>
    <xf numFmtId="0" fontId="10" fillId="22" borderId="30" xfId="0" applyFont="1" applyFill="1" applyBorder="1" applyAlignment="1">
      <alignment horizontal="center" vertical="center" wrapText="1"/>
    </xf>
    <xf numFmtId="0" fontId="9" fillId="22" borderId="30" xfId="0" applyFont="1" applyFill="1" applyBorder="1" applyAlignment="1">
      <alignment horizontal="center" vertical="center" wrapText="1"/>
    </xf>
    <xf numFmtId="0" fontId="9" fillId="22" borderId="31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9" fillId="22" borderId="38" xfId="0" applyFont="1" applyFill="1" applyBorder="1" applyAlignment="1">
      <alignment horizontal="center" vertical="center" wrapText="1"/>
    </xf>
    <xf numFmtId="0" fontId="9" fillId="22" borderId="39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10" fillId="18" borderId="37" xfId="0" applyFont="1" applyFill="1" applyBorder="1" applyAlignment="1">
      <alignment horizontal="center" vertical="center" wrapText="1"/>
    </xf>
    <xf numFmtId="0" fontId="10" fillId="18" borderId="30" xfId="0" applyFont="1" applyFill="1" applyBorder="1" applyAlignment="1">
      <alignment horizontal="center" vertical="center" wrapText="1"/>
    </xf>
    <xf numFmtId="2" fontId="10" fillId="18" borderId="30" xfId="0" applyNumberFormat="1" applyFont="1" applyFill="1" applyBorder="1" applyAlignment="1">
      <alignment horizontal="center" vertical="center" wrapText="1"/>
    </xf>
    <xf numFmtId="2" fontId="10" fillId="18" borderId="31" xfId="0" applyNumberFormat="1" applyFont="1" applyFill="1" applyBorder="1" applyAlignment="1">
      <alignment horizontal="center" vertical="center" wrapText="1"/>
    </xf>
    <xf numFmtId="2" fontId="10" fillId="18" borderId="32" xfId="0" applyNumberFormat="1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center" vertical="center" wrapText="1"/>
    </xf>
    <xf numFmtId="2" fontId="10" fillId="18" borderId="38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2" borderId="31" xfId="0" applyFont="1" applyFill="1" applyBorder="1" applyAlignment="1">
      <alignment horizontal="center" vertical="center" wrapText="1"/>
    </xf>
    <xf numFmtId="0" fontId="10" fillId="14" borderId="31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9" borderId="47" xfId="0" applyFont="1" applyFill="1" applyBorder="1" applyAlignment="1">
      <alignment horizontal="center" vertical="center" wrapText="1"/>
    </xf>
    <xf numFmtId="0" fontId="9" fillId="18" borderId="46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9" fillId="22" borderId="32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2" fontId="10" fillId="18" borderId="28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0" fontId="12" fillId="19" borderId="46" xfId="0" applyFont="1" applyFill="1" applyBorder="1" applyAlignment="1">
      <alignment horizontal="center" vertical="center" wrapText="1"/>
    </xf>
    <xf numFmtId="2" fontId="9" fillId="2" borderId="48" xfId="0" applyNumberFormat="1" applyFont="1" applyFill="1" applyBorder="1" applyAlignment="1">
      <alignment horizontal="center" vertical="center" wrapText="1"/>
    </xf>
    <xf numFmtId="0" fontId="9" fillId="21" borderId="50" xfId="0" applyFont="1" applyFill="1" applyBorder="1" applyAlignment="1">
      <alignment horizontal="center" vertical="center" wrapText="1"/>
    </xf>
    <xf numFmtId="0" fontId="10" fillId="21" borderId="51" xfId="0" applyFont="1" applyFill="1" applyBorder="1" applyAlignment="1">
      <alignment horizontal="center" vertical="center" wrapText="1"/>
    </xf>
    <xf numFmtId="0" fontId="9" fillId="21" borderId="51" xfId="0" applyFont="1" applyFill="1" applyBorder="1" applyAlignment="1">
      <alignment horizontal="center" vertical="center" wrapText="1"/>
    </xf>
    <xf numFmtId="0" fontId="9" fillId="21" borderId="52" xfId="0" applyFont="1" applyFill="1" applyBorder="1" applyAlignment="1">
      <alignment horizontal="center" vertical="center" wrapText="1"/>
    </xf>
    <xf numFmtId="0" fontId="9" fillId="21" borderId="53" xfId="0" applyFont="1" applyFill="1" applyBorder="1" applyAlignment="1">
      <alignment horizontal="center" vertical="center" wrapText="1"/>
    </xf>
    <xf numFmtId="0" fontId="9" fillId="21" borderId="54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9" fillId="22" borderId="28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9" fillId="2" borderId="33" xfId="0" applyNumberFormat="1" applyFont="1" applyFill="1" applyBorder="1" applyAlignment="1">
      <alignment horizontal="center" vertical="center" wrapText="1"/>
    </xf>
    <xf numFmtId="2" fontId="10" fillId="2" borderId="33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3" fillId="19" borderId="1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10" fillId="18" borderId="24" xfId="0" applyNumberFormat="1" applyFont="1" applyFill="1" applyBorder="1" applyAlignment="1">
      <alignment horizontal="center" vertical="center" wrapText="1"/>
    </xf>
    <xf numFmtId="0" fontId="9" fillId="23" borderId="50" xfId="0" applyFont="1" applyFill="1" applyBorder="1" applyAlignment="1">
      <alignment horizontal="center" vertical="center" wrapText="1"/>
    </xf>
    <xf numFmtId="0" fontId="9" fillId="23" borderId="51" xfId="0" applyFont="1" applyFill="1" applyBorder="1" applyAlignment="1">
      <alignment horizontal="center" vertical="center" wrapText="1"/>
    </xf>
    <xf numFmtId="0" fontId="10" fillId="23" borderId="51" xfId="0" applyFont="1" applyFill="1" applyBorder="1" applyAlignment="1">
      <alignment horizontal="center" vertical="center" wrapText="1"/>
    </xf>
    <xf numFmtId="0" fontId="10" fillId="23" borderId="52" xfId="0" applyFont="1" applyFill="1" applyBorder="1" applyAlignment="1">
      <alignment horizontal="center" vertical="center" wrapText="1"/>
    </xf>
    <xf numFmtId="0" fontId="9" fillId="23" borderId="53" xfId="0" applyFont="1" applyFill="1" applyBorder="1" applyAlignment="1">
      <alignment horizontal="center" vertical="center" wrapText="1"/>
    </xf>
    <xf numFmtId="0" fontId="9" fillId="23" borderId="35" xfId="0" applyFont="1" applyFill="1" applyBorder="1" applyAlignment="1">
      <alignment horizontal="center" vertical="center" wrapText="1"/>
    </xf>
    <xf numFmtId="0" fontId="9" fillId="23" borderId="52" xfId="0" applyFont="1" applyFill="1" applyBorder="1" applyAlignment="1">
      <alignment horizontal="center" vertical="center" wrapText="1"/>
    </xf>
    <xf numFmtId="0" fontId="9" fillId="23" borderId="55" xfId="0" applyFont="1" applyFill="1" applyBorder="1" applyAlignment="1">
      <alignment horizontal="center" vertical="center" wrapText="1"/>
    </xf>
    <xf numFmtId="0" fontId="9" fillId="23" borderId="36" xfId="0" applyFont="1" applyFill="1" applyBorder="1" applyAlignment="1">
      <alignment horizontal="center" vertical="center" wrapText="1"/>
    </xf>
    <xf numFmtId="0" fontId="9" fillId="23" borderId="54" xfId="0" applyFont="1" applyFill="1" applyBorder="1" applyAlignment="1">
      <alignment horizontal="center" vertical="center" wrapText="1"/>
    </xf>
    <xf numFmtId="0" fontId="9" fillId="23" borderId="45" xfId="0" applyFont="1" applyFill="1" applyBorder="1" applyAlignment="1">
      <alignment horizontal="center" vertical="center" wrapText="1"/>
    </xf>
    <xf numFmtId="0" fontId="9" fillId="21" borderId="34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2" fillId="19" borderId="56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2" fontId="9" fillId="2" borderId="57" xfId="0" applyNumberFormat="1" applyFont="1" applyFill="1" applyBorder="1" applyAlignment="1">
      <alignment horizontal="center" vertical="center" wrapText="1"/>
    </xf>
    <xf numFmtId="2" fontId="10" fillId="17" borderId="34" xfId="0" applyNumberFormat="1" applyFont="1" applyFill="1" applyBorder="1" applyAlignment="1">
      <alignment horizontal="center" vertical="center" wrapText="1"/>
    </xf>
    <xf numFmtId="2" fontId="10" fillId="20" borderId="39" xfId="0" applyNumberFormat="1" applyFont="1" applyFill="1" applyBorder="1" applyAlignment="1">
      <alignment horizontal="center" vertical="center" wrapText="1"/>
    </xf>
    <xf numFmtId="2" fontId="10" fillId="23" borderId="55" xfId="0" applyNumberFormat="1" applyFont="1" applyFill="1" applyBorder="1" applyAlignment="1">
      <alignment horizontal="center" vertical="center" wrapText="1"/>
    </xf>
    <xf numFmtId="2" fontId="10" fillId="17" borderId="18" xfId="0" applyNumberFormat="1" applyFont="1" applyFill="1" applyBorder="1" applyAlignment="1">
      <alignment horizontal="center" vertical="center" wrapText="1"/>
    </xf>
    <xf numFmtId="2" fontId="10" fillId="10" borderId="39" xfId="0" applyNumberFormat="1" applyFont="1" applyFill="1" applyBorder="1" applyAlignment="1">
      <alignment horizontal="center" vertical="center" wrapText="1"/>
    </xf>
    <xf numFmtId="2" fontId="10" fillId="19" borderId="34" xfId="0" applyNumberFormat="1" applyFont="1" applyFill="1" applyBorder="1" applyAlignment="1">
      <alignment horizontal="center" vertical="center" wrapText="1"/>
    </xf>
    <xf numFmtId="2" fontId="10" fillId="18" borderId="17" xfId="0" applyNumberFormat="1" applyFont="1" applyFill="1" applyBorder="1" applyAlignment="1">
      <alignment horizontal="center" vertical="center" wrapText="1"/>
    </xf>
    <xf numFmtId="2" fontId="10" fillId="17" borderId="17" xfId="0" applyNumberFormat="1" applyFont="1" applyFill="1" applyBorder="1" applyAlignment="1">
      <alignment horizontal="center" vertical="center" wrapText="1"/>
    </xf>
    <xf numFmtId="2" fontId="10" fillId="22" borderId="39" xfId="0" applyNumberFormat="1" applyFont="1" applyFill="1" applyBorder="1" applyAlignment="1">
      <alignment horizontal="center" vertical="center" wrapText="1"/>
    </xf>
    <xf numFmtId="2" fontId="10" fillId="14" borderId="39" xfId="0" applyNumberFormat="1" applyFont="1" applyFill="1" applyBorder="1" applyAlignment="1">
      <alignment horizontal="center" vertical="center" wrapText="1"/>
    </xf>
    <xf numFmtId="2" fontId="10" fillId="8" borderId="44" xfId="0" applyNumberFormat="1" applyFont="1" applyFill="1" applyBorder="1" applyAlignment="1">
      <alignment horizontal="center" vertical="center" wrapText="1"/>
    </xf>
    <xf numFmtId="2" fontId="10" fillId="9" borderId="3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9" fillId="19" borderId="11" xfId="0" applyNumberFormat="1" applyFont="1" applyFill="1" applyBorder="1" applyAlignment="1">
      <alignment horizontal="center" vertical="center" wrapText="1"/>
    </xf>
    <xf numFmtId="2" fontId="9" fillId="23" borderId="51" xfId="0" applyNumberFormat="1" applyFont="1" applyFill="1" applyBorder="1" applyAlignment="1">
      <alignment horizontal="center" vertical="center" wrapText="1"/>
    </xf>
    <xf numFmtId="2" fontId="10" fillId="9" borderId="3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10" borderId="30" xfId="0" applyNumberFormat="1" applyFont="1" applyFill="1" applyBorder="1" applyAlignment="1">
      <alignment horizontal="center" vertical="center" wrapText="1"/>
    </xf>
    <xf numFmtId="2" fontId="9" fillId="22" borderId="30" xfId="0" applyNumberFormat="1" applyFont="1" applyFill="1" applyBorder="1" applyAlignment="1">
      <alignment horizontal="center" vertical="center" wrapText="1"/>
    </xf>
    <xf numFmtId="2" fontId="9" fillId="18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21" borderId="51" xfId="0" applyNumberFormat="1" applyFont="1" applyFill="1" applyBorder="1" applyAlignment="1">
      <alignment horizontal="center" vertical="center" wrapText="1"/>
    </xf>
    <xf numFmtId="2" fontId="10" fillId="7" borderId="12" xfId="0" applyNumberFormat="1" applyFont="1" applyFill="1" applyBorder="1" applyAlignment="1">
      <alignment horizontal="center" vertical="center" wrapText="1"/>
    </xf>
    <xf numFmtId="2" fontId="9" fillId="21" borderId="55" xfId="0" applyNumberFormat="1" applyFont="1" applyFill="1" applyBorder="1" applyAlignment="1">
      <alignment horizontal="center" vertical="center" wrapText="1"/>
    </xf>
    <xf numFmtId="0" fontId="9" fillId="19" borderId="19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9" fillId="21" borderId="55" xfId="0" applyFont="1" applyFill="1" applyBorder="1" applyAlignment="1">
      <alignment horizontal="center" vertical="center" wrapText="1"/>
    </xf>
    <xf numFmtId="0" fontId="9" fillId="21" borderId="44" xfId="0" applyFont="1" applyFill="1" applyBorder="1" applyAlignment="1">
      <alignment horizontal="center" vertical="center" wrapText="1"/>
    </xf>
    <xf numFmtId="0" fontId="12" fillId="19" borderId="26" xfId="0" applyFont="1" applyFill="1" applyBorder="1" applyAlignment="1">
      <alignment horizontal="center" vertical="center" wrapText="1"/>
    </xf>
    <xf numFmtId="2" fontId="9" fillId="2" borderId="46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 vertical="center" wrapText="1"/>
    </xf>
    <xf numFmtId="2" fontId="9" fillId="2" borderId="59" xfId="0" applyNumberFormat="1" applyFont="1" applyFill="1" applyBorder="1" applyAlignment="1">
      <alignment horizontal="center" vertical="center" wrapText="1"/>
    </xf>
    <xf numFmtId="2" fontId="9" fillId="2" borderId="3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2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30" fillId="2" borderId="33" xfId="0" applyNumberFormat="1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0" fillId="22" borderId="2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2" fontId="10" fillId="20" borderId="38" xfId="0" applyNumberFormat="1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 wrapText="1"/>
    </xf>
    <xf numFmtId="0" fontId="9" fillId="21" borderId="45" xfId="0" applyFont="1" applyFill="1" applyBorder="1" applyAlignment="1">
      <alignment horizontal="center" vertical="center" wrapText="1"/>
    </xf>
    <xf numFmtId="0" fontId="13" fillId="19" borderId="3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2" fontId="10" fillId="23" borderId="52" xfId="0" applyNumberFormat="1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2" fontId="10" fillId="2" borderId="41" xfId="0" applyNumberFormat="1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10" fillId="20" borderId="3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19" borderId="26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center" vertical="center" wrapText="1"/>
    </xf>
    <xf numFmtId="2" fontId="9" fillId="2" borderId="58" xfId="0" applyNumberFormat="1" applyFont="1" applyFill="1" applyBorder="1" applyAlignment="1">
      <alignment horizontal="center" vertical="center" wrapText="1"/>
    </xf>
    <xf numFmtId="0" fontId="9" fillId="23" borderId="24" xfId="0" applyFont="1" applyFill="1" applyBorder="1" applyAlignment="1">
      <alignment horizontal="center" vertical="center" wrapText="1"/>
    </xf>
    <xf numFmtId="0" fontId="13" fillId="19" borderId="25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Border="1" applyAlignment="1">
      <alignment horizontal="center" vertical="center" wrapText="1"/>
    </xf>
    <xf numFmtId="2" fontId="10" fillId="20" borderId="30" xfId="0" applyNumberFormat="1" applyFont="1" applyFill="1" applyBorder="1" applyAlignment="1">
      <alignment horizontal="center" vertical="center" wrapText="1"/>
    </xf>
    <xf numFmtId="2" fontId="9" fillId="2" borderId="47" xfId="0" applyNumberFormat="1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DO56"/>
  <sheetViews>
    <sheetView view="pageBreakPreview" zoomScale="80" zoomScaleSheetLayoutView="8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M54" sqref="CM54"/>
    </sheetView>
  </sheetViews>
  <sheetFormatPr defaultColWidth="9.00390625" defaultRowHeight="12.75"/>
  <cols>
    <col min="1" max="1" width="5.00390625" style="18" customWidth="1"/>
    <col min="2" max="2" width="38.375" style="18" customWidth="1"/>
    <col min="3" max="3" width="18.00390625" style="18" customWidth="1"/>
    <col min="4" max="5" width="17.75390625" style="18" customWidth="1"/>
    <col min="6" max="7" width="16.875" style="18" customWidth="1"/>
    <col min="8" max="8" width="17.125" style="18" customWidth="1"/>
    <col min="9" max="17" width="14.75390625" style="18" customWidth="1"/>
    <col min="18" max="18" width="15.75390625" style="18" customWidth="1"/>
    <col min="19" max="19" width="14.625" style="18" customWidth="1"/>
    <col min="20" max="20" width="14.75390625" style="18" customWidth="1"/>
    <col min="21" max="21" width="16.25390625" style="18" customWidth="1"/>
    <col min="22" max="22" width="16.00390625" style="18" customWidth="1"/>
    <col min="23" max="23" width="17.00390625" style="18" customWidth="1"/>
    <col min="24" max="24" width="16.375" style="18" customWidth="1"/>
    <col min="25" max="25" width="14.75390625" style="18" customWidth="1"/>
    <col min="26" max="29" width="14.75390625" style="20" customWidth="1"/>
    <col min="30" max="30" width="17.75390625" style="20" customWidth="1"/>
    <col min="31" max="32" width="17.25390625" style="18" customWidth="1"/>
    <col min="33" max="34" width="18.125" style="18" customWidth="1"/>
    <col min="35" max="35" width="17.125" style="18" customWidth="1"/>
    <col min="36" max="36" width="16.25390625" style="18" customWidth="1"/>
    <col min="37" max="37" width="16.875" style="18" customWidth="1"/>
    <col min="38" max="38" width="14.75390625" style="18" customWidth="1"/>
    <col min="39" max="40" width="16.00390625" style="18" customWidth="1"/>
    <col min="41" max="41" width="14.75390625" style="18" customWidth="1"/>
    <col min="42" max="42" width="15.75390625" style="18" customWidth="1"/>
    <col min="43" max="44" width="16.25390625" style="18" customWidth="1"/>
    <col min="45" max="45" width="17.00390625" style="18" customWidth="1"/>
    <col min="46" max="47" width="15.875" style="18" customWidth="1"/>
    <col min="48" max="48" width="16.875" style="18" customWidth="1"/>
    <col min="49" max="50" width="16.00390625" style="18" customWidth="1"/>
    <col min="51" max="51" width="16.25390625" style="18" customWidth="1"/>
    <col min="52" max="52" width="15.875" style="18" customWidth="1"/>
    <col min="53" max="54" width="18.00390625" style="18" customWidth="1"/>
    <col min="55" max="55" width="16.25390625" style="18" customWidth="1"/>
    <col min="56" max="66" width="14.75390625" style="18" customWidth="1"/>
    <col min="67" max="67" width="16.125" style="18" customWidth="1"/>
    <col min="68" max="93" width="14.75390625" style="18" customWidth="1"/>
    <col min="94" max="95" width="17.125" style="18" customWidth="1"/>
    <col min="96" max="96" width="16.625" style="18" customWidth="1"/>
    <col min="97" max="97" width="14.75390625" style="18" customWidth="1"/>
    <col min="98" max="99" width="16.25390625" style="18" customWidth="1"/>
    <col min="100" max="101" width="16.875" style="18" customWidth="1"/>
    <col min="102" max="107" width="15.375" style="18" customWidth="1"/>
    <col min="108" max="109" width="16.375" style="18" customWidth="1"/>
    <col min="110" max="112" width="14.75390625" style="18" customWidth="1"/>
    <col min="113" max="113" width="16.25390625" style="18" customWidth="1"/>
    <col min="114" max="114" width="17.00390625" style="18" customWidth="1"/>
    <col min="115" max="115" width="18.125" style="18" customWidth="1"/>
    <col min="116" max="117" width="14.625" style="0" customWidth="1"/>
  </cols>
  <sheetData>
    <row r="1" spans="1:115" ht="18" customHeight="1">
      <c r="A1" s="281" t="s">
        <v>105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2"/>
    </row>
    <row r="2" spans="1:115" ht="12.75" customHeight="1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2"/>
    </row>
    <row r="3" spans="1:115" ht="18.75" customHeight="1" hidden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2"/>
    </row>
    <row r="4" spans="1:115" s="2" customFormat="1" ht="45.75" customHeight="1">
      <c r="A4" s="289" t="s">
        <v>1</v>
      </c>
      <c r="B4" s="284" t="s">
        <v>0</v>
      </c>
      <c r="C4" s="284" t="s">
        <v>78</v>
      </c>
      <c r="D4" s="284"/>
      <c r="E4" s="284" t="s">
        <v>79</v>
      </c>
      <c r="F4" s="284"/>
      <c r="G4" s="286" t="s">
        <v>92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/>
      <c r="AD4" s="265" t="s">
        <v>70</v>
      </c>
      <c r="AE4" s="266"/>
      <c r="AF4" s="265" t="s">
        <v>80</v>
      </c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66"/>
      <c r="CL4" s="271" t="s">
        <v>73</v>
      </c>
      <c r="CM4" s="271"/>
      <c r="CN4" s="266"/>
      <c r="CO4" s="265" t="s">
        <v>81</v>
      </c>
      <c r="CP4" s="266"/>
      <c r="CQ4" s="265" t="s">
        <v>82</v>
      </c>
      <c r="CR4" s="266"/>
      <c r="CS4" s="265" t="s">
        <v>83</v>
      </c>
      <c r="CT4" s="266"/>
      <c r="CU4" s="265" t="s">
        <v>84</v>
      </c>
      <c r="CV4" s="266"/>
      <c r="CW4" s="269" t="s">
        <v>85</v>
      </c>
      <c r="CX4" s="270"/>
      <c r="CY4" s="270"/>
      <c r="CZ4" s="270"/>
      <c r="DA4" s="270"/>
      <c r="DB4" s="270"/>
      <c r="DC4" s="291" t="s">
        <v>86</v>
      </c>
      <c r="DD4" s="292"/>
      <c r="DE4" s="265" t="s">
        <v>87</v>
      </c>
      <c r="DF4" s="266"/>
      <c r="DG4" s="265" t="s">
        <v>88</v>
      </c>
      <c r="DH4" s="266"/>
      <c r="DI4" s="265" t="s">
        <v>4</v>
      </c>
      <c r="DJ4" s="271"/>
      <c r="DK4" s="279"/>
    </row>
    <row r="5" spans="1:115" s="2" customFormat="1" ht="84.75" customHeight="1" thickBot="1">
      <c r="A5" s="290"/>
      <c r="B5" s="285"/>
      <c r="C5" s="285"/>
      <c r="D5" s="285"/>
      <c r="E5" s="285"/>
      <c r="F5" s="285"/>
      <c r="G5" s="273" t="s">
        <v>62</v>
      </c>
      <c r="H5" s="274"/>
      <c r="I5" s="273" t="s">
        <v>60</v>
      </c>
      <c r="J5" s="274"/>
      <c r="K5" s="273" t="s">
        <v>108</v>
      </c>
      <c r="L5" s="274"/>
      <c r="M5" s="273" t="s">
        <v>61</v>
      </c>
      <c r="N5" s="274"/>
      <c r="O5" s="263" t="s">
        <v>109</v>
      </c>
      <c r="P5" s="264"/>
      <c r="Q5" s="273" t="s">
        <v>104</v>
      </c>
      <c r="R5" s="274"/>
      <c r="S5" s="273" t="s">
        <v>35</v>
      </c>
      <c r="T5" s="274"/>
      <c r="U5" s="273" t="s">
        <v>65</v>
      </c>
      <c r="V5" s="274"/>
      <c r="W5" s="273" t="s">
        <v>64</v>
      </c>
      <c r="X5" s="274"/>
      <c r="Y5" s="273" t="s">
        <v>63</v>
      </c>
      <c r="Z5" s="274"/>
      <c r="AA5" s="273" t="s">
        <v>71</v>
      </c>
      <c r="AB5" s="278"/>
      <c r="AC5" s="274"/>
      <c r="AD5" s="267"/>
      <c r="AE5" s="268"/>
      <c r="AF5" s="273" t="s">
        <v>77</v>
      </c>
      <c r="AG5" s="274"/>
      <c r="AH5" s="273" t="s">
        <v>39</v>
      </c>
      <c r="AI5" s="274"/>
      <c r="AJ5" s="273" t="s">
        <v>40</v>
      </c>
      <c r="AK5" s="274"/>
      <c r="AL5" s="273" t="s">
        <v>66</v>
      </c>
      <c r="AM5" s="274"/>
      <c r="AN5" s="273" t="s">
        <v>36</v>
      </c>
      <c r="AO5" s="274"/>
      <c r="AP5" s="273" t="s">
        <v>107</v>
      </c>
      <c r="AQ5" s="274"/>
      <c r="AR5" s="273" t="s">
        <v>41</v>
      </c>
      <c r="AS5" s="274"/>
      <c r="AT5" s="273" t="s">
        <v>42</v>
      </c>
      <c r="AU5" s="274"/>
      <c r="AV5" s="273" t="s">
        <v>43</v>
      </c>
      <c r="AW5" s="274"/>
      <c r="AX5" s="273" t="s">
        <v>44</v>
      </c>
      <c r="AY5" s="274"/>
      <c r="AZ5" s="273" t="s">
        <v>45</v>
      </c>
      <c r="BA5" s="274"/>
      <c r="BB5" s="273" t="s">
        <v>103</v>
      </c>
      <c r="BC5" s="274"/>
      <c r="BD5" s="273" t="s">
        <v>49</v>
      </c>
      <c r="BE5" s="274"/>
      <c r="BF5" s="263" t="s">
        <v>102</v>
      </c>
      <c r="BG5" s="264"/>
      <c r="BH5" s="273" t="s">
        <v>50</v>
      </c>
      <c r="BI5" s="274"/>
      <c r="BJ5" s="273" t="s">
        <v>51</v>
      </c>
      <c r="BK5" s="274"/>
      <c r="BL5" s="273" t="s">
        <v>52</v>
      </c>
      <c r="BM5" s="274"/>
      <c r="BN5" s="273" t="s">
        <v>53</v>
      </c>
      <c r="BO5" s="274"/>
      <c r="BP5" s="273" t="s">
        <v>46</v>
      </c>
      <c r="BQ5" s="274"/>
      <c r="BR5" s="273" t="s">
        <v>47</v>
      </c>
      <c r="BS5" s="274"/>
      <c r="BT5" s="273" t="s">
        <v>48</v>
      </c>
      <c r="BU5" s="274"/>
      <c r="BV5" s="273" t="s">
        <v>37</v>
      </c>
      <c r="BW5" s="274"/>
      <c r="BX5" s="273" t="s">
        <v>38</v>
      </c>
      <c r="BY5" s="274"/>
      <c r="BZ5" s="273" t="s">
        <v>67</v>
      </c>
      <c r="CA5" s="274"/>
      <c r="CB5" s="273" t="s">
        <v>101</v>
      </c>
      <c r="CC5" s="274"/>
      <c r="CD5" s="273" t="s">
        <v>106</v>
      </c>
      <c r="CE5" s="274"/>
      <c r="CF5" s="273" t="s">
        <v>68</v>
      </c>
      <c r="CG5" s="274"/>
      <c r="CH5" s="273" t="s">
        <v>69</v>
      </c>
      <c r="CI5" s="274"/>
      <c r="CJ5" s="273" t="s">
        <v>100</v>
      </c>
      <c r="CK5" s="277"/>
      <c r="CL5" s="272"/>
      <c r="CM5" s="272"/>
      <c r="CN5" s="268"/>
      <c r="CO5" s="267"/>
      <c r="CP5" s="268"/>
      <c r="CQ5" s="267"/>
      <c r="CR5" s="268"/>
      <c r="CS5" s="267"/>
      <c r="CT5" s="268"/>
      <c r="CU5" s="267"/>
      <c r="CV5" s="268"/>
      <c r="CW5" s="275" t="s">
        <v>91</v>
      </c>
      <c r="CX5" s="276"/>
      <c r="CY5" s="275" t="s">
        <v>89</v>
      </c>
      <c r="CZ5" s="276"/>
      <c r="DA5" s="263" t="s">
        <v>90</v>
      </c>
      <c r="DB5" s="264"/>
      <c r="DC5" s="293"/>
      <c r="DD5" s="294"/>
      <c r="DE5" s="267"/>
      <c r="DF5" s="268"/>
      <c r="DG5" s="267"/>
      <c r="DH5" s="268"/>
      <c r="DI5" s="267"/>
      <c r="DJ5" s="272"/>
      <c r="DK5" s="280"/>
    </row>
    <row r="6" spans="1:115" s="2" customFormat="1" ht="19.5" thickBot="1">
      <c r="A6" s="232"/>
      <c r="B6" s="154" t="s">
        <v>94</v>
      </c>
      <c r="C6" s="154" t="s">
        <v>95</v>
      </c>
      <c r="D6" s="154" t="s">
        <v>96</v>
      </c>
      <c r="E6" s="154" t="s">
        <v>95</v>
      </c>
      <c r="F6" s="154" t="s">
        <v>96</v>
      </c>
      <c r="G6" s="154" t="s">
        <v>95</v>
      </c>
      <c r="H6" s="154" t="s">
        <v>96</v>
      </c>
      <c r="I6" s="154" t="s">
        <v>95</v>
      </c>
      <c r="J6" s="154" t="s">
        <v>96</v>
      </c>
      <c r="K6" s="154" t="s">
        <v>95</v>
      </c>
      <c r="L6" s="154" t="s">
        <v>96</v>
      </c>
      <c r="M6" s="154" t="s">
        <v>95</v>
      </c>
      <c r="N6" s="154" t="s">
        <v>96</v>
      </c>
      <c r="O6" s="154" t="s">
        <v>95</v>
      </c>
      <c r="P6" s="154" t="s">
        <v>96</v>
      </c>
      <c r="Q6" s="154" t="s">
        <v>95</v>
      </c>
      <c r="R6" s="154" t="s">
        <v>96</v>
      </c>
      <c r="S6" s="154" t="s">
        <v>95</v>
      </c>
      <c r="T6" s="154" t="s">
        <v>96</v>
      </c>
      <c r="U6" s="154" t="s">
        <v>95</v>
      </c>
      <c r="V6" s="154" t="s">
        <v>96</v>
      </c>
      <c r="W6" s="154" t="s">
        <v>95</v>
      </c>
      <c r="X6" s="154" t="s">
        <v>96</v>
      </c>
      <c r="Y6" s="154" t="s">
        <v>95</v>
      </c>
      <c r="Z6" s="154" t="s">
        <v>96</v>
      </c>
      <c r="AA6" s="154" t="s">
        <v>95</v>
      </c>
      <c r="AB6" s="154" t="s">
        <v>96</v>
      </c>
      <c r="AC6" s="233" t="s">
        <v>97</v>
      </c>
      <c r="AD6" s="154" t="s">
        <v>95</v>
      </c>
      <c r="AE6" s="154" t="s">
        <v>96</v>
      </c>
      <c r="AF6" s="154" t="s">
        <v>95</v>
      </c>
      <c r="AG6" s="154" t="s">
        <v>96</v>
      </c>
      <c r="AH6" s="154" t="s">
        <v>95</v>
      </c>
      <c r="AI6" s="154" t="s">
        <v>96</v>
      </c>
      <c r="AJ6" s="154" t="s">
        <v>95</v>
      </c>
      <c r="AK6" s="154" t="s">
        <v>96</v>
      </c>
      <c r="AL6" s="154" t="s">
        <v>95</v>
      </c>
      <c r="AM6" s="154" t="s">
        <v>96</v>
      </c>
      <c r="AN6" s="154" t="s">
        <v>95</v>
      </c>
      <c r="AO6" s="154" t="s">
        <v>96</v>
      </c>
      <c r="AP6" s="154" t="s">
        <v>95</v>
      </c>
      <c r="AQ6" s="154" t="s">
        <v>96</v>
      </c>
      <c r="AR6" s="154" t="s">
        <v>95</v>
      </c>
      <c r="AS6" s="154" t="s">
        <v>96</v>
      </c>
      <c r="AT6" s="154" t="s">
        <v>95</v>
      </c>
      <c r="AU6" s="154" t="s">
        <v>96</v>
      </c>
      <c r="AV6" s="154" t="s">
        <v>95</v>
      </c>
      <c r="AW6" s="154" t="s">
        <v>96</v>
      </c>
      <c r="AX6" s="154" t="s">
        <v>95</v>
      </c>
      <c r="AY6" s="154" t="s">
        <v>96</v>
      </c>
      <c r="AZ6" s="154" t="s">
        <v>95</v>
      </c>
      <c r="BA6" s="154" t="s">
        <v>96</v>
      </c>
      <c r="BB6" s="154" t="s">
        <v>95</v>
      </c>
      <c r="BC6" s="154" t="s">
        <v>96</v>
      </c>
      <c r="BD6" s="154" t="s">
        <v>95</v>
      </c>
      <c r="BE6" s="154" t="s">
        <v>96</v>
      </c>
      <c r="BF6" s="154" t="s">
        <v>95</v>
      </c>
      <c r="BG6" s="154" t="s">
        <v>96</v>
      </c>
      <c r="BH6" s="154" t="s">
        <v>95</v>
      </c>
      <c r="BI6" s="154" t="s">
        <v>96</v>
      </c>
      <c r="BJ6" s="154" t="s">
        <v>95</v>
      </c>
      <c r="BK6" s="154" t="s">
        <v>96</v>
      </c>
      <c r="BL6" s="154" t="s">
        <v>95</v>
      </c>
      <c r="BM6" s="154" t="s">
        <v>96</v>
      </c>
      <c r="BN6" s="154" t="s">
        <v>95</v>
      </c>
      <c r="BO6" s="154" t="s">
        <v>96</v>
      </c>
      <c r="BP6" s="154" t="s">
        <v>95</v>
      </c>
      <c r="BQ6" s="154" t="s">
        <v>96</v>
      </c>
      <c r="BR6" s="154" t="s">
        <v>95</v>
      </c>
      <c r="BS6" s="154" t="s">
        <v>96</v>
      </c>
      <c r="BT6" s="154" t="s">
        <v>95</v>
      </c>
      <c r="BU6" s="154" t="s">
        <v>96</v>
      </c>
      <c r="BV6" s="154" t="s">
        <v>95</v>
      </c>
      <c r="BW6" s="154" t="s">
        <v>96</v>
      </c>
      <c r="BX6" s="154" t="s">
        <v>95</v>
      </c>
      <c r="BY6" s="154" t="s">
        <v>96</v>
      </c>
      <c r="BZ6" s="154" t="s">
        <v>95</v>
      </c>
      <c r="CA6" s="154" t="s">
        <v>96</v>
      </c>
      <c r="CB6" s="154" t="s">
        <v>95</v>
      </c>
      <c r="CC6" s="154" t="s">
        <v>96</v>
      </c>
      <c r="CD6" s="154" t="s">
        <v>95</v>
      </c>
      <c r="CE6" s="154" t="s">
        <v>96</v>
      </c>
      <c r="CF6" s="154" t="s">
        <v>95</v>
      </c>
      <c r="CG6" s="154" t="s">
        <v>96</v>
      </c>
      <c r="CH6" s="154" t="s">
        <v>95</v>
      </c>
      <c r="CI6" s="154" t="s">
        <v>96</v>
      </c>
      <c r="CJ6" s="154" t="s">
        <v>95</v>
      </c>
      <c r="CK6" s="154" t="s">
        <v>96</v>
      </c>
      <c r="CL6" s="154" t="s">
        <v>95</v>
      </c>
      <c r="CM6" s="154" t="s">
        <v>96</v>
      </c>
      <c r="CN6" s="234" t="s">
        <v>98</v>
      </c>
      <c r="CO6" s="154" t="s">
        <v>95</v>
      </c>
      <c r="CP6" s="155" t="s">
        <v>96</v>
      </c>
      <c r="CQ6" s="154" t="s">
        <v>95</v>
      </c>
      <c r="CR6" s="155" t="s">
        <v>96</v>
      </c>
      <c r="CS6" s="154" t="s">
        <v>95</v>
      </c>
      <c r="CT6" s="155" t="s">
        <v>96</v>
      </c>
      <c r="CU6" s="154" t="s">
        <v>95</v>
      </c>
      <c r="CV6" s="155" t="s">
        <v>96</v>
      </c>
      <c r="CW6" s="154" t="s">
        <v>95</v>
      </c>
      <c r="CX6" s="155" t="s">
        <v>96</v>
      </c>
      <c r="CY6" s="154" t="s">
        <v>95</v>
      </c>
      <c r="CZ6" s="155" t="s">
        <v>96</v>
      </c>
      <c r="DA6" s="154" t="s">
        <v>95</v>
      </c>
      <c r="DB6" s="155" t="s">
        <v>96</v>
      </c>
      <c r="DC6" s="154" t="s">
        <v>95</v>
      </c>
      <c r="DD6" s="155" t="s">
        <v>96</v>
      </c>
      <c r="DE6" s="154" t="s">
        <v>95</v>
      </c>
      <c r="DF6" s="155" t="s">
        <v>96</v>
      </c>
      <c r="DG6" s="154" t="s">
        <v>95</v>
      </c>
      <c r="DH6" s="155" t="s">
        <v>96</v>
      </c>
      <c r="DI6" s="154" t="s">
        <v>95</v>
      </c>
      <c r="DJ6" s="155" t="s">
        <v>96</v>
      </c>
      <c r="DK6" s="227" t="s">
        <v>99</v>
      </c>
    </row>
    <row r="7" spans="1:119" ht="22.5" customHeight="1" thickBot="1">
      <c r="A7" s="5">
        <v>1</v>
      </c>
      <c r="B7" s="5" t="s">
        <v>12</v>
      </c>
      <c r="C7" s="260">
        <f>394584.18*1.03</f>
        <v>406421.7054</v>
      </c>
      <c r="D7" s="151">
        <f>123759.01*1.03</f>
        <v>127471.7803</v>
      </c>
      <c r="E7" s="151">
        <f>90024.59*1.035</f>
        <v>93175.45064999998</v>
      </c>
      <c r="F7" s="151">
        <f>28940.99*1.035</f>
        <v>29953.92465</v>
      </c>
      <c r="G7" s="152"/>
      <c r="H7" s="152"/>
      <c r="I7" s="152"/>
      <c r="J7" s="152"/>
      <c r="K7" s="152"/>
      <c r="L7" s="219"/>
      <c r="M7" s="152"/>
      <c r="N7" s="152"/>
      <c r="O7" s="152"/>
      <c r="P7" s="219"/>
      <c r="Q7" s="152"/>
      <c r="R7" s="219"/>
      <c r="S7" s="152"/>
      <c r="T7" s="152"/>
      <c r="U7" s="152"/>
      <c r="V7" s="152"/>
      <c r="W7" s="152"/>
      <c r="X7" s="226"/>
      <c r="Y7" s="152"/>
      <c r="Z7" s="219"/>
      <c r="AA7" s="153">
        <f>G7+I7+K7+M7+O7+Q7+S7+U7+W7+Y7</f>
        <v>0</v>
      </c>
      <c r="AB7" s="153">
        <f>H7+J7+L7+N7+P7+R7+T7+V7+X7+Z7</f>
        <v>0</v>
      </c>
      <c r="AC7" s="153">
        <f>AA7+AB7</f>
        <v>0</v>
      </c>
      <c r="AD7" s="153"/>
      <c r="AE7" s="128"/>
      <c r="AF7" s="52"/>
      <c r="AG7" s="244">
        <v>934.07</v>
      </c>
      <c r="AH7" s="66"/>
      <c r="AI7" s="63"/>
      <c r="AJ7" s="63"/>
      <c r="AK7" s="224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224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>
        <v>1307.65</v>
      </c>
      <c r="CH7" s="63"/>
      <c r="CI7" s="63"/>
      <c r="CJ7" s="65"/>
      <c r="CK7" s="173"/>
      <c r="CL7" s="46">
        <f>AF7+AH7+AJ7+AL7+AN7+AP7+AR7+AT7+AV7+AX7+AZ7+BB7+BD7+BF7+BH7+BJ7+BL7+BN7+BP7+BR7+BT7+BV7+BX7+BZ7+CB7+CD7+CF7+CH7+CJ7</f>
        <v>0</v>
      </c>
      <c r="CM7" s="46">
        <f>AG7+AI7+AK7+AM7+AO7+AQ7+AS7+AU7+AW7+AY7+BA7+BC7+BE7+BG7+BI7+BK7+BM7+BO7+BQ7+BS7+BU7+BW7+BY7+CA7+CC7+CE7+CG7+CI7+CK7</f>
        <v>2241.7200000000003</v>
      </c>
      <c r="CN7" s="46">
        <f>CL7+CM7</f>
        <v>2241.7200000000003</v>
      </c>
      <c r="CO7" s="48"/>
      <c r="CP7" s="214"/>
      <c r="CQ7" s="173"/>
      <c r="CR7" s="217">
        <f>90554.08*1.038</f>
        <v>93995.13504000001</v>
      </c>
      <c r="CS7" s="52"/>
      <c r="CT7" s="65">
        <v>461.44</v>
      </c>
      <c r="CU7" s="65"/>
      <c r="CV7" s="152">
        <f>4562.07*0.71</f>
        <v>3239.0696999999996</v>
      </c>
      <c r="CW7" s="65"/>
      <c r="CX7" s="128"/>
      <c r="CY7" s="48"/>
      <c r="CZ7" s="48"/>
      <c r="DA7" s="48"/>
      <c r="DB7" s="48"/>
      <c r="DC7" s="48"/>
      <c r="DD7" s="46"/>
      <c r="DE7" s="173"/>
      <c r="DF7" s="173"/>
      <c r="DG7" s="173"/>
      <c r="DH7" s="173"/>
      <c r="DI7" s="217">
        <f>C7+E7+AA7+AD7+CL7+CO7+CQ7+CS7+CU7+CW7+CY7+DA7+DC7+DE7+DG7</f>
        <v>499597.15605</v>
      </c>
      <c r="DJ7" s="218">
        <f>D7+F7+AB7+AE7+CM7+CP7+CR7+CT7+CV7+CX7+CZ7+DB7+DD7+DF7+DH7</f>
        <v>257363.06968999997</v>
      </c>
      <c r="DK7" s="183">
        <f>DI7+DJ7</f>
        <v>756960.2257399999</v>
      </c>
      <c r="DM7" s="195"/>
      <c r="DO7" s="195"/>
    </row>
    <row r="8" spans="1:119" ht="38.25" thickBot="1">
      <c r="A8" s="6">
        <v>2</v>
      </c>
      <c r="B8" s="6" t="s">
        <v>93</v>
      </c>
      <c r="C8" s="203">
        <f>590016.49*1.03</f>
        <v>607716.9847</v>
      </c>
      <c r="D8" s="7">
        <f>116519.38*1.03</f>
        <v>120014.96140000001</v>
      </c>
      <c r="E8" s="7">
        <f>129752.13*1.035</f>
        <v>134293.45455</v>
      </c>
      <c r="F8" s="7">
        <f>26463.86*1.035</f>
        <v>27390.0951</v>
      </c>
      <c r="G8" s="8"/>
      <c r="H8" s="8"/>
      <c r="I8" s="8"/>
      <c r="J8" s="8"/>
      <c r="K8" s="8"/>
      <c r="L8" s="21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153">
        <f aca="true" t="shared" si="0" ref="AA8:AB14">G8+I8+K8+M8+O8+Q8+S8+U8+W8+Y8</f>
        <v>0</v>
      </c>
      <c r="AB8" s="153">
        <f t="shared" si="0"/>
        <v>0</v>
      </c>
      <c r="AC8" s="153">
        <f aca="true" t="shared" si="1" ref="AC8:AC38">AA8+AB8</f>
        <v>0</v>
      </c>
      <c r="AD8" s="9"/>
      <c r="AE8" s="213">
        <v>-11872.3</v>
      </c>
      <c r="AF8" s="50"/>
      <c r="AG8" s="7">
        <v>507.74</v>
      </c>
      <c r="AH8" s="32"/>
      <c r="AI8" s="10"/>
      <c r="AJ8" s="10"/>
      <c r="AK8" s="10"/>
      <c r="AL8" s="10"/>
      <c r="AM8" s="10"/>
      <c r="AN8" s="10"/>
      <c r="AO8" s="10"/>
      <c r="AP8" s="10"/>
      <c r="AQ8" s="10">
        <v>106932.56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221">
        <v>3281</v>
      </c>
      <c r="CD8" s="10"/>
      <c r="CE8" s="10"/>
      <c r="CF8" s="10"/>
      <c r="CG8" s="63">
        <v>1307.65</v>
      </c>
      <c r="CH8" s="10"/>
      <c r="CI8" s="10"/>
      <c r="CJ8" s="28"/>
      <c r="CK8" s="181">
        <v>16.28</v>
      </c>
      <c r="CL8" s="46">
        <f aca="true" t="shared" si="2" ref="CL8:CM38">AF8+AH8+AJ8+AL8+AN8+AP8+AR8+AT8+AV8+AX8+AZ8+BB8+BD8+BF8+BH8+BJ8+BL8+BN8+BP8+BR8+BT8+BV8+BX8+BZ8+CB8+CD8+CF8+CH8+CJ8</f>
        <v>0</v>
      </c>
      <c r="CM8" s="46">
        <f t="shared" si="2"/>
        <v>112045.23</v>
      </c>
      <c r="CN8" s="46">
        <f aca="true" t="shared" si="3" ref="CN8:CN40">CL8+CM8</f>
        <v>112045.23</v>
      </c>
      <c r="CO8" s="48"/>
      <c r="CP8" s="140"/>
      <c r="CQ8" s="181"/>
      <c r="CR8" s="216">
        <f>144664.66*1.038</f>
        <v>150161.91708</v>
      </c>
      <c r="CS8" s="50"/>
      <c r="CT8" s="28">
        <f>4330.26+199.58</f>
        <v>4529.84</v>
      </c>
      <c r="CU8" s="28"/>
      <c r="CV8" s="8">
        <f>11272.04*0.71</f>
        <v>8003.1484</v>
      </c>
      <c r="CW8" s="28"/>
      <c r="CX8" s="127"/>
      <c r="CY8" s="39"/>
      <c r="CZ8" s="39"/>
      <c r="DA8" s="39"/>
      <c r="DB8" s="39"/>
      <c r="DC8" s="39"/>
      <c r="DD8" s="36"/>
      <c r="DE8" s="181"/>
      <c r="DF8" s="181"/>
      <c r="DG8" s="173"/>
      <c r="DH8" s="173"/>
      <c r="DI8" s="217">
        <f aca="true" t="shared" si="4" ref="DI8:DJ38">C8+E8+AA8+AD8+CL8+CO8+CQ8+CS8+CU8+CW8+CY8+DA8+DC8+DE8+DG8</f>
        <v>742010.43925</v>
      </c>
      <c r="DJ8" s="218">
        <f t="shared" si="4"/>
        <v>410272.8919800001</v>
      </c>
      <c r="DK8" s="183">
        <f aca="true" t="shared" si="5" ref="DK8:DK38">DI8+DJ8</f>
        <v>1152283.3312300001</v>
      </c>
      <c r="DM8" s="195"/>
      <c r="DO8" s="195"/>
    </row>
    <row r="9" spans="1:119" ht="19.5" thickBot="1">
      <c r="A9" s="6">
        <v>3</v>
      </c>
      <c r="B9" s="6" t="s">
        <v>13</v>
      </c>
      <c r="C9" s="203">
        <f>218577.28*1.03</f>
        <v>225134.59840000002</v>
      </c>
      <c r="D9" s="7">
        <f>74498.88*1.03</f>
        <v>76733.84640000001</v>
      </c>
      <c r="E9" s="7">
        <f>50826.52*1.035</f>
        <v>52605.44819999999</v>
      </c>
      <c r="F9" s="7">
        <f>18139.14*1.035</f>
        <v>18774.009899999997</v>
      </c>
      <c r="G9" s="8"/>
      <c r="H9" s="8"/>
      <c r="I9" s="8"/>
      <c r="J9" s="8"/>
      <c r="K9" s="8"/>
      <c r="L9" s="8"/>
      <c r="M9" s="8"/>
      <c r="N9" s="8"/>
      <c r="O9" s="8"/>
      <c r="P9" s="8">
        <v>1520</v>
      </c>
      <c r="Q9" s="8"/>
      <c r="R9" s="8"/>
      <c r="S9" s="8"/>
      <c r="T9" s="8"/>
      <c r="U9" s="8"/>
      <c r="V9" s="8"/>
      <c r="W9" s="8"/>
      <c r="X9" s="8"/>
      <c r="Y9" s="8"/>
      <c r="Z9" s="9"/>
      <c r="AA9" s="153">
        <f t="shared" si="0"/>
        <v>0</v>
      </c>
      <c r="AB9" s="153">
        <f t="shared" si="0"/>
        <v>1520</v>
      </c>
      <c r="AC9" s="153">
        <f t="shared" si="1"/>
        <v>1520</v>
      </c>
      <c r="AD9" s="9"/>
      <c r="AE9" s="127">
        <v>-3967</v>
      </c>
      <c r="AF9" s="50"/>
      <c r="AG9" s="10">
        <v>359.3</v>
      </c>
      <c r="AH9" s="32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222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222"/>
      <c r="CD9" s="10"/>
      <c r="CE9" s="10"/>
      <c r="CF9" s="10"/>
      <c r="CG9" s="63">
        <v>1307.65</v>
      </c>
      <c r="CH9" s="10"/>
      <c r="CI9" s="10"/>
      <c r="CJ9" s="28"/>
      <c r="CK9" s="181"/>
      <c r="CL9" s="46">
        <f t="shared" si="2"/>
        <v>0</v>
      </c>
      <c r="CM9" s="46">
        <f t="shared" si="2"/>
        <v>1666.95</v>
      </c>
      <c r="CN9" s="46">
        <f t="shared" si="3"/>
        <v>1666.95</v>
      </c>
      <c r="CO9" s="48"/>
      <c r="CP9" s="140"/>
      <c r="CQ9" s="181"/>
      <c r="CR9" s="216">
        <f>18896.42*1.038</f>
        <v>19614.483959999998</v>
      </c>
      <c r="CS9" s="50"/>
      <c r="CT9" s="28"/>
      <c r="CU9" s="28"/>
      <c r="CV9" s="8">
        <f>2621*0.71</f>
        <v>1860.9099999999999</v>
      </c>
      <c r="CW9" s="28"/>
      <c r="CX9" s="127"/>
      <c r="CY9" s="39"/>
      <c r="CZ9" s="39"/>
      <c r="DA9" s="39"/>
      <c r="DB9" s="39"/>
      <c r="DC9" s="39"/>
      <c r="DD9" s="36"/>
      <c r="DE9" s="181"/>
      <c r="DF9" s="181"/>
      <c r="DG9" s="173"/>
      <c r="DH9" s="173"/>
      <c r="DI9" s="217">
        <f t="shared" si="4"/>
        <v>277740.0466</v>
      </c>
      <c r="DJ9" s="218">
        <f t="shared" si="4"/>
        <v>116203.20026000001</v>
      </c>
      <c r="DK9" s="183">
        <f t="shared" si="5"/>
        <v>393943.24686</v>
      </c>
      <c r="DM9" s="195"/>
      <c r="DO9" s="195"/>
    </row>
    <row r="10" spans="1:119" ht="19.5" thickBot="1">
      <c r="A10" s="6">
        <v>4</v>
      </c>
      <c r="B10" s="6" t="s">
        <v>14</v>
      </c>
      <c r="C10" s="203">
        <f>116578.35*1.03</f>
        <v>120075.7005</v>
      </c>
      <c r="D10" s="7">
        <f>28665.42*1.03</f>
        <v>29525.382599999997</v>
      </c>
      <c r="E10" s="7">
        <f>25647.24*1.035</f>
        <v>26544.8934</v>
      </c>
      <c r="F10" s="7">
        <f>7692.88*1.035</f>
        <v>7962.1308</v>
      </c>
      <c r="G10" s="8"/>
      <c r="H10" s="8"/>
      <c r="I10" s="8"/>
      <c r="J10" s="8"/>
      <c r="K10" s="8"/>
      <c r="L10" s="8"/>
      <c r="M10" s="8"/>
      <c r="N10" s="8"/>
      <c r="O10" s="8"/>
      <c r="P10" s="8">
        <f>720+180</f>
        <v>900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153">
        <f t="shared" si="0"/>
        <v>0</v>
      </c>
      <c r="AB10" s="153">
        <f t="shared" si="0"/>
        <v>900</v>
      </c>
      <c r="AC10" s="153">
        <f t="shared" si="1"/>
        <v>900</v>
      </c>
      <c r="AD10" s="9"/>
      <c r="AE10" s="127"/>
      <c r="AF10" s="50"/>
      <c r="AG10" s="10">
        <v>101.48</v>
      </c>
      <c r="AH10" s="32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222"/>
      <c r="CD10" s="10"/>
      <c r="CE10" s="10"/>
      <c r="CF10" s="10"/>
      <c r="CG10" s="63">
        <v>1307.65</v>
      </c>
      <c r="CH10" s="10"/>
      <c r="CI10" s="10"/>
      <c r="CJ10" s="28"/>
      <c r="CK10" s="181"/>
      <c r="CL10" s="46">
        <f t="shared" si="2"/>
        <v>0</v>
      </c>
      <c r="CM10" s="46">
        <f t="shared" si="2"/>
        <v>1409.13</v>
      </c>
      <c r="CN10" s="46">
        <f t="shared" si="3"/>
        <v>1409.13</v>
      </c>
      <c r="CO10" s="48"/>
      <c r="CP10" s="140"/>
      <c r="CQ10" s="181"/>
      <c r="CR10" s="216">
        <f>95900.25*1.038</f>
        <v>99544.4595</v>
      </c>
      <c r="CS10" s="50"/>
      <c r="CT10" s="8">
        <v>449.9</v>
      </c>
      <c r="CU10" s="28"/>
      <c r="CV10" s="8">
        <f>2480*0.71</f>
        <v>1760.8</v>
      </c>
      <c r="CW10" s="28"/>
      <c r="CX10" s="127"/>
      <c r="CY10" s="39"/>
      <c r="CZ10" s="39"/>
      <c r="DA10" s="39"/>
      <c r="DB10" s="39"/>
      <c r="DC10" s="39"/>
      <c r="DD10" s="216"/>
      <c r="DE10" s="181"/>
      <c r="DF10" s="181"/>
      <c r="DG10" s="173"/>
      <c r="DH10" s="173"/>
      <c r="DI10" s="217">
        <f t="shared" si="4"/>
        <v>146620.5939</v>
      </c>
      <c r="DJ10" s="218">
        <f t="shared" si="4"/>
        <v>141551.80289999998</v>
      </c>
      <c r="DK10" s="183">
        <f t="shared" si="5"/>
        <v>288172.3968</v>
      </c>
      <c r="DM10" s="195"/>
      <c r="DO10" s="195"/>
    </row>
    <row r="11" spans="1:119" ht="19.5" thickBot="1">
      <c r="A11" s="6">
        <v>5</v>
      </c>
      <c r="B11" s="6" t="s">
        <v>8</v>
      </c>
      <c r="C11" s="203">
        <f>382165.57*1.03</f>
        <v>393630.5371</v>
      </c>
      <c r="D11" s="7">
        <f>90058.49*1.03</f>
        <v>92760.24470000001</v>
      </c>
      <c r="E11" s="7">
        <f>79273.33*1.035</f>
        <v>82047.89654999999</v>
      </c>
      <c r="F11" s="7">
        <f>23270.11*1.035</f>
        <v>24084.56385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53">
        <f t="shared" si="0"/>
        <v>0</v>
      </c>
      <c r="AB11" s="153">
        <f t="shared" si="0"/>
        <v>0</v>
      </c>
      <c r="AC11" s="153">
        <f t="shared" si="1"/>
        <v>0</v>
      </c>
      <c r="AD11" s="9"/>
      <c r="AE11" s="213">
        <v>-2647.5</v>
      </c>
      <c r="AF11" s="50"/>
      <c r="AG11" s="10">
        <v>458.37</v>
      </c>
      <c r="AH11" s="32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221">
        <v>1749</v>
      </c>
      <c r="CD11" s="10"/>
      <c r="CE11" s="10"/>
      <c r="CF11" s="10"/>
      <c r="CG11" s="63">
        <v>1307.65</v>
      </c>
      <c r="CH11" s="10"/>
      <c r="CI11" s="10"/>
      <c r="CJ11" s="28"/>
      <c r="CK11" s="181"/>
      <c r="CL11" s="46">
        <f t="shared" si="2"/>
        <v>0</v>
      </c>
      <c r="CM11" s="46">
        <f t="shared" si="2"/>
        <v>3515.02</v>
      </c>
      <c r="CN11" s="46">
        <f t="shared" si="3"/>
        <v>3515.02</v>
      </c>
      <c r="CO11" s="48"/>
      <c r="CP11" s="140"/>
      <c r="CQ11" s="181"/>
      <c r="CR11" s="216">
        <f>155881.87*1.038</f>
        <v>161805.38106</v>
      </c>
      <c r="CS11" s="50"/>
      <c r="CT11" s="28"/>
      <c r="CU11" s="28"/>
      <c r="CV11" s="8">
        <f>7057.41*0.71</f>
        <v>5010.7611</v>
      </c>
      <c r="CW11" s="28"/>
      <c r="CX11" s="127"/>
      <c r="CY11" s="39"/>
      <c r="CZ11" s="39"/>
      <c r="DA11" s="39"/>
      <c r="DB11" s="39"/>
      <c r="DC11" s="39"/>
      <c r="DD11" s="36"/>
      <c r="DE11" s="181"/>
      <c r="DF11" s="181"/>
      <c r="DG11" s="173"/>
      <c r="DH11" s="173"/>
      <c r="DI11" s="217">
        <f t="shared" si="4"/>
        <v>475678.43365</v>
      </c>
      <c r="DJ11" s="218">
        <f t="shared" si="4"/>
        <v>284528.47071</v>
      </c>
      <c r="DK11" s="183">
        <f t="shared" si="5"/>
        <v>760206.90436</v>
      </c>
      <c r="DM11" s="195"/>
      <c r="DO11" s="195"/>
    </row>
    <row r="12" spans="1:119" ht="19.5" thickBot="1">
      <c r="A12" s="6">
        <v>6</v>
      </c>
      <c r="B12" s="6" t="s">
        <v>15</v>
      </c>
      <c r="C12" s="203">
        <f>216826.07*1.03</f>
        <v>223330.85210000002</v>
      </c>
      <c r="D12" s="7">
        <f>49695.02*1.03</f>
        <v>51185.870599999995</v>
      </c>
      <c r="E12" s="7">
        <f>49896.89*1.035</f>
        <v>51643.281149999995</v>
      </c>
      <c r="F12" s="7">
        <f>10520.22*1.035</f>
        <v>10888.427699999998</v>
      </c>
      <c r="G12" s="8"/>
      <c r="H12" s="8"/>
      <c r="I12" s="8"/>
      <c r="J12" s="8"/>
      <c r="K12" s="8"/>
      <c r="L12" s="8"/>
      <c r="M12" s="8"/>
      <c r="N12" s="8"/>
      <c r="O12" s="8"/>
      <c r="P12" s="8">
        <v>1160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153">
        <f t="shared" si="0"/>
        <v>0</v>
      </c>
      <c r="AB12" s="153">
        <f t="shared" si="0"/>
        <v>1160</v>
      </c>
      <c r="AC12" s="153">
        <f t="shared" si="1"/>
        <v>1160</v>
      </c>
      <c r="AD12" s="9"/>
      <c r="AE12" s="127">
        <v>-1579</v>
      </c>
      <c r="AF12" s="50"/>
      <c r="AG12" s="10">
        <v>356.9</v>
      </c>
      <c r="AH12" s="32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222"/>
      <c r="CD12" s="10"/>
      <c r="CE12" s="10"/>
      <c r="CF12" s="10"/>
      <c r="CG12" s="63">
        <v>1307.65</v>
      </c>
      <c r="CH12" s="10"/>
      <c r="CI12" s="10"/>
      <c r="CJ12" s="28"/>
      <c r="CK12" s="181"/>
      <c r="CL12" s="46">
        <f t="shared" si="2"/>
        <v>0</v>
      </c>
      <c r="CM12" s="46">
        <f t="shared" si="2"/>
        <v>1664.5500000000002</v>
      </c>
      <c r="CN12" s="46">
        <f t="shared" si="3"/>
        <v>1664.5500000000002</v>
      </c>
      <c r="CO12" s="48"/>
      <c r="CP12" s="140"/>
      <c r="CQ12" s="181"/>
      <c r="CR12" s="216">
        <f>44888.22*1.038</f>
        <v>46593.97236</v>
      </c>
      <c r="CS12" s="50"/>
      <c r="CT12" s="28"/>
      <c r="CU12" s="28"/>
      <c r="CV12" s="8">
        <f>3002*0.71</f>
        <v>2131.42</v>
      </c>
      <c r="CW12" s="28"/>
      <c r="CX12" s="127"/>
      <c r="CY12" s="39"/>
      <c r="CZ12" s="39"/>
      <c r="DA12" s="39"/>
      <c r="DB12" s="39"/>
      <c r="DC12" s="39"/>
      <c r="DD12" s="36"/>
      <c r="DE12" s="181"/>
      <c r="DF12" s="181"/>
      <c r="DG12" s="173"/>
      <c r="DH12" s="173"/>
      <c r="DI12" s="217">
        <f t="shared" si="4"/>
        <v>274974.13325</v>
      </c>
      <c r="DJ12" s="218">
        <f t="shared" si="4"/>
        <v>112045.24066</v>
      </c>
      <c r="DK12" s="183">
        <f t="shared" si="5"/>
        <v>387019.37391</v>
      </c>
      <c r="DM12" s="195"/>
      <c r="DO12" s="195"/>
    </row>
    <row r="13" spans="1:119" ht="19.5" thickBot="1">
      <c r="A13" s="6">
        <v>7</v>
      </c>
      <c r="B13" s="6" t="s">
        <v>16</v>
      </c>
      <c r="C13" s="203">
        <f>(433054.92+51939)*1.03</f>
        <v>499543.7376</v>
      </c>
      <c r="D13" s="7">
        <f>133824.38*1.03</f>
        <v>137839.1114</v>
      </c>
      <c r="E13" s="7">
        <f>(94105.78+11426.58)*1.035</f>
        <v>109225.9926</v>
      </c>
      <c r="F13" s="7">
        <f>27949.58*1.035</f>
        <v>28927.8153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53">
        <f t="shared" si="0"/>
        <v>0</v>
      </c>
      <c r="AB13" s="153">
        <f t="shared" si="0"/>
        <v>0</v>
      </c>
      <c r="AC13" s="153">
        <f t="shared" si="1"/>
        <v>0</v>
      </c>
      <c r="AD13" s="9"/>
      <c r="AE13" s="127">
        <v>-6631.3</v>
      </c>
      <c r="AF13" s="50"/>
      <c r="AG13" s="10">
        <v>463.16</v>
      </c>
      <c r="AH13" s="32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222"/>
      <c r="CD13" s="10"/>
      <c r="CE13" s="10"/>
      <c r="CF13" s="10"/>
      <c r="CG13" s="63">
        <v>1307.65</v>
      </c>
      <c r="CH13" s="10"/>
      <c r="CI13" s="10"/>
      <c r="CJ13" s="28"/>
      <c r="CK13" s="181"/>
      <c r="CL13" s="46">
        <f t="shared" si="2"/>
        <v>0</v>
      </c>
      <c r="CM13" s="46">
        <f t="shared" si="2"/>
        <v>1770.8100000000002</v>
      </c>
      <c r="CN13" s="46">
        <f t="shared" si="3"/>
        <v>1770.8100000000002</v>
      </c>
      <c r="CO13" s="48"/>
      <c r="CP13" s="140"/>
      <c r="CQ13" s="181"/>
      <c r="CR13" s="216">
        <f>178706.9*1.038</f>
        <v>185497.7622</v>
      </c>
      <c r="CS13" s="50"/>
      <c r="CT13" s="28">
        <v>3947.17</v>
      </c>
      <c r="CU13" s="28"/>
      <c r="CV13" s="8">
        <f>4495.81*0.71</f>
        <v>3192.0251000000003</v>
      </c>
      <c r="CW13" s="28"/>
      <c r="CX13" s="127"/>
      <c r="CY13" s="39"/>
      <c r="CZ13" s="39"/>
      <c r="DA13" s="39"/>
      <c r="DB13" s="39"/>
      <c r="DC13" s="39"/>
      <c r="DD13" s="36"/>
      <c r="DE13" s="181"/>
      <c r="DF13" s="181"/>
      <c r="DG13" s="173"/>
      <c r="DH13" s="173"/>
      <c r="DI13" s="217">
        <f t="shared" si="4"/>
        <v>608769.7302</v>
      </c>
      <c r="DJ13" s="218">
        <f t="shared" si="4"/>
        <v>354543.394</v>
      </c>
      <c r="DK13" s="183">
        <f t="shared" si="5"/>
        <v>963313.1242</v>
      </c>
      <c r="DM13" s="195"/>
      <c r="DO13" s="195"/>
    </row>
    <row r="14" spans="1:119" ht="19.5" thickBot="1">
      <c r="A14" s="6">
        <v>8</v>
      </c>
      <c r="B14" s="6" t="s">
        <v>17</v>
      </c>
      <c r="C14" s="203">
        <f>225044.56*1.03</f>
        <v>231795.89680000002</v>
      </c>
      <c r="D14" s="7">
        <f>76553.32*1.03</f>
        <v>78849.91960000001</v>
      </c>
      <c r="E14" s="7">
        <f>61136.89*1.035</f>
        <v>63276.68115</v>
      </c>
      <c r="F14" s="7">
        <f>16863.47*1.035</f>
        <v>17453.69145</v>
      </c>
      <c r="G14" s="8"/>
      <c r="H14" s="8"/>
      <c r="I14" s="8"/>
      <c r="J14" s="8"/>
      <c r="K14" s="8"/>
      <c r="L14" s="8"/>
      <c r="M14" s="8"/>
      <c r="N14" s="8"/>
      <c r="O14" s="8"/>
      <c r="P14" s="8">
        <f>2727+1580+1950+540+120+110+110+110+240</f>
        <v>7487</v>
      </c>
      <c r="Q14" s="8"/>
      <c r="R14" s="8"/>
      <c r="S14" s="8"/>
      <c r="T14" s="8"/>
      <c r="U14" s="8"/>
      <c r="V14" s="8">
        <v>1158</v>
      </c>
      <c r="W14" s="8"/>
      <c r="X14" s="8"/>
      <c r="Y14" s="8"/>
      <c r="Z14" s="219"/>
      <c r="AA14" s="153">
        <f t="shared" si="0"/>
        <v>0</v>
      </c>
      <c r="AB14" s="153">
        <f t="shared" si="0"/>
        <v>8645</v>
      </c>
      <c r="AC14" s="153">
        <f t="shared" si="1"/>
        <v>8645</v>
      </c>
      <c r="AD14" s="9"/>
      <c r="AE14" s="127"/>
      <c r="AF14" s="50"/>
      <c r="AG14" s="10">
        <v>101.47</v>
      </c>
      <c r="AH14" s="32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222"/>
      <c r="CD14" s="10"/>
      <c r="CE14" s="10"/>
      <c r="CF14" s="10"/>
      <c r="CG14" s="10"/>
      <c r="CH14" s="10"/>
      <c r="CI14" s="10"/>
      <c r="CJ14" s="28"/>
      <c r="CK14" s="181"/>
      <c r="CL14" s="46">
        <f t="shared" si="2"/>
        <v>0</v>
      </c>
      <c r="CM14" s="46">
        <f t="shared" si="2"/>
        <v>101.47</v>
      </c>
      <c r="CN14" s="46">
        <f t="shared" si="3"/>
        <v>101.47</v>
      </c>
      <c r="CO14" s="48"/>
      <c r="CP14" s="140"/>
      <c r="CQ14" s="181"/>
      <c r="CR14" s="216">
        <f>94497.87*1.038</f>
        <v>98088.78906</v>
      </c>
      <c r="CS14" s="50"/>
      <c r="CT14" s="8"/>
      <c r="CU14" s="28"/>
      <c r="CV14" s="8">
        <f>4499.8*0.71</f>
        <v>3194.858</v>
      </c>
      <c r="CW14" s="28"/>
      <c r="CX14" s="127"/>
      <c r="CY14" s="39"/>
      <c r="CZ14" s="39"/>
      <c r="DA14" s="39"/>
      <c r="DB14" s="39"/>
      <c r="DC14" s="39"/>
      <c r="DD14" s="36"/>
      <c r="DE14" s="181"/>
      <c r="DF14" s="181"/>
      <c r="DG14" s="173"/>
      <c r="DH14" s="173"/>
      <c r="DI14" s="217">
        <f t="shared" si="4"/>
        <v>295072.57795</v>
      </c>
      <c r="DJ14" s="218">
        <f t="shared" si="4"/>
        <v>206333.72811000003</v>
      </c>
      <c r="DK14" s="183">
        <f t="shared" si="5"/>
        <v>501406.30606000003</v>
      </c>
      <c r="DM14" s="195"/>
      <c r="DO14" s="195"/>
    </row>
    <row r="15" spans="1:119" ht="19.5" thickBot="1">
      <c r="A15" s="6">
        <v>9</v>
      </c>
      <c r="B15" s="6" t="s">
        <v>18</v>
      </c>
      <c r="C15" s="203">
        <f>213896.62*1.03</f>
        <v>220313.5186</v>
      </c>
      <c r="D15" s="7">
        <f>40744.16*1.03</f>
        <v>41966.484800000006</v>
      </c>
      <c r="E15" s="7">
        <f>47797.98*1.035</f>
        <v>49470.9093</v>
      </c>
      <c r="F15" s="7">
        <f>9223.49*1.035</f>
        <v>9546.31215</v>
      </c>
      <c r="G15" s="8"/>
      <c r="H15" s="8"/>
      <c r="I15" s="8"/>
      <c r="J15" s="8"/>
      <c r="K15" s="8"/>
      <c r="L15" s="8"/>
      <c r="M15" s="8"/>
      <c r="N15" s="8"/>
      <c r="O15" s="8"/>
      <c r="P15" s="8">
        <f>2727+1740+1950+540+240+220+110+110+260</f>
        <v>7897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153">
        <f>G15+I15+K15+M15+O15+Q15+S15+U15+W15+Y15</f>
        <v>0</v>
      </c>
      <c r="AB15" s="153">
        <f>H15+J15+L15+N15+P15+R15+T15+V15+X15+Z15</f>
        <v>7897</v>
      </c>
      <c r="AC15" s="153">
        <f t="shared" si="1"/>
        <v>7897</v>
      </c>
      <c r="AD15" s="9"/>
      <c r="AE15" s="127">
        <v>-3045</v>
      </c>
      <c r="AF15" s="50"/>
      <c r="AG15" s="10">
        <v>359.3</v>
      </c>
      <c r="AH15" s="32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>
        <v>1307.65</v>
      </c>
      <c r="CH15" s="10"/>
      <c r="CI15" s="10"/>
      <c r="CJ15" s="28"/>
      <c r="CK15" s="181"/>
      <c r="CL15" s="46">
        <f t="shared" si="2"/>
        <v>0</v>
      </c>
      <c r="CM15" s="46">
        <f t="shared" si="2"/>
        <v>1666.95</v>
      </c>
      <c r="CN15" s="46">
        <f t="shared" si="3"/>
        <v>1666.95</v>
      </c>
      <c r="CO15" s="48"/>
      <c r="CP15" s="50"/>
      <c r="CQ15" s="181"/>
      <c r="CR15" s="216">
        <f>75511.58*1.038</f>
        <v>78381.02004</v>
      </c>
      <c r="CS15" s="50"/>
      <c r="CT15" s="28">
        <v>207.65</v>
      </c>
      <c r="CU15" s="28"/>
      <c r="CV15" s="8">
        <f>2839*0.71</f>
        <v>2015.6899999999998</v>
      </c>
      <c r="CW15" s="28"/>
      <c r="CX15" s="127"/>
      <c r="CY15" s="39"/>
      <c r="CZ15" s="39"/>
      <c r="DA15" s="39"/>
      <c r="DB15" s="39"/>
      <c r="DC15" s="39"/>
      <c r="DD15" s="36"/>
      <c r="DE15" s="181"/>
      <c r="DF15" s="181"/>
      <c r="DG15" s="173"/>
      <c r="DH15" s="173"/>
      <c r="DI15" s="217">
        <f t="shared" si="4"/>
        <v>269784.4279</v>
      </c>
      <c r="DJ15" s="218">
        <f t="shared" si="4"/>
        <v>138636.10699</v>
      </c>
      <c r="DK15" s="183">
        <f t="shared" si="5"/>
        <v>408420.53489</v>
      </c>
      <c r="DM15" s="195"/>
      <c r="DO15" s="195"/>
    </row>
    <row r="16" spans="1:119" ht="19.5" thickBot="1">
      <c r="A16" s="6">
        <v>10</v>
      </c>
      <c r="B16" s="6" t="s">
        <v>9</v>
      </c>
      <c r="C16" s="203">
        <f>(458318.01+2504.63)*1.03</f>
        <v>474647.3192</v>
      </c>
      <c r="D16" s="7">
        <f>85173.54*1.03</f>
        <v>87728.7462</v>
      </c>
      <c r="E16" s="7">
        <f>(96486.77+532.58)*1.035</f>
        <v>100415.02725</v>
      </c>
      <c r="F16" s="7">
        <f>19676.23*1.035</f>
        <v>20364.89805</v>
      </c>
      <c r="G16" s="8"/>
      <c r="H16" s="8"/>
      <c r="I16" s="8"/>
      <c r="J16" s="8"/>
      <c r="K16" s="8"/>
      <c r="L16" s="8"/>
      <c r="M16" s="8"/>
      <c r="N16" s="8"/>
      <c r="O16" s="8"/>
      <c r="P16" s="8">
        <f>2727+1080+1950+540+240+220+110+110+260</f>
        <v>7237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153">
        <f aca="true" t="shared" si="6" ref="AA16:AB38">G16+I16+K16+M16+O16+Q16+S16+U16+W16+Y16</f>
        <v>0</v>
      </c>
      <c r="AB16" s="153">
        <f t="shared" si="6"/>
        <v>7237</v>
      </c>
      <c r="AC16" s="153">
        <f t="shared" si="1"/>
        <v>7237</v>
      </c>
      <c r="AD16" s="9"/>
      <c r="AE16" s="127"/>
      <c r="AF16" s="50"/>
      <c r="AG16" s="10">
        <v>359.3</v>
      </c>
      <c r="AH16" s="32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>
        <v>1307.65</v>
      </c>
      <c r="CH16" s="10"/>
      <c r="CI16" s="10"/>
      <c r="CJ16" s="28"/>
      <c r="CK16" s="181"/>
      <c r="CL16" s="46">
        <f t="shared" si="2"/>
        <v>0</v>
      </c>
      <c r="CM16" s="46">
        <f t="shared" si="2"/>
        <v>1666.95</v>
      </c>
      <c r="CN16" s="46">
        <f t="shared" si="3"/>
        <v>1666.95</v>
      </c>
      <c r="CO16" s="48"/>
      <c r="CP16" s="140"/>
      <c r="CQ16" s="181"/>
      <c r="CR16" s="216">
        <f>171753.46*1.038</f>
        <v>178280.09148</v>
      </c>
      <c r="CS16" s="50"/>
      <c r="CT16" s="28">
        <v>1207.82</v>
      </c>
      <c r="CU16" s="28"/>
      <c r="CV16" s="8">
        <f>9140.6*0.71</f>
        <v>6489.826</v>
      </c>
      <c r="CW16" s="28"/>
      <c r="CX16" s="127"/>
      <c r="CY16" s="39"/>
      <c r="CZ16" s="39"/>
      <c r="DA16" s="39"/>
      <c r="DB16" s="39"/>
      <c r="DC16" s="39"/>
      <c r="DD16" s="36"/>
      <c r="DE16" s="181"/>
      <c r="DF16" s="181"/>
      <c r="DG16" s="173"/>
      <c r="DH16" s="173"/>
      <c r="DI16" s="217">
        <f t="shared" si="4"/>
        <v>575062.3464500001</v>
      </c>
      <c r="DJ16" s="218">
        <f t="shared" si="4"/>
        <v>302975.33173000003</v>
      </c>
      <c r="DK16" s="183">
        <f t="shared" si="5"/>
        <v>878037.67818</v>
      </c>
      <c r="DM16" s="195"/>
      <c r="DO16" s="195"/>
    </row>
    <row r="17" spans="1:119" ht="19.5" thickBot="1">
      <c r="A17" s="6">
        <v>11</v>
      </c>
      <c r="B17" s="6" t="s">
        <v>19</v>
      </c>
      <c r="C17" s="203">
        <f>194480.56*1.03</f>
        <v>200314.9768</v>
      </c>
      <c r="D17" s="7">
        <f>91986.67*1.03</f>
        <v>94746.2701</v>
      </c>
      <c r="E17" s="7">
        <f>42913.75*1.035</f>
        <v>44415.73125</v>
      </c>
      <c r="F17" s="7">
        <f>20173.62*1.035</f>
        <v>20879.696699999997</v>
      </c>
      <c r="G17" s="8"/>
      <c r="H17" s="8"/>
      <c r="I17" s="8"/>
      <c r="J17" s="8"/>
      <c r="K17" s="8"/>
      <c r="L17" s="8"/>
      <c r="M17" s="8"/>
      <c r="N17" s="8"/>
      <c r="O17" s="8"/>
      <c r="P17" s="8">
        <f>2727+1660+1950+720+240+220+110+110</f>
        <v>7737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153">
        <f t="shared" si="6"/>
        <v>0</v>
      </c>
      <c r="AB17" s="153">
        <f t="shared" si="6"/>
        <v>7737</v>
      </c>
      <c r="AC17" s="153">
        <f t="shared" si="1"/>
        <v>7737</v>
      </c>
      <c r="AD17" s="9"/>
      <c r="AE17" s="127"/>
      <c r="AF17" s="50"/>
      <c r="AG17" s="10">
        <v>747.73</v>
      </c>
      <c r="AH17" s="32"/>
      <c r="AI17" s="10"/>
      <c r="AJ17" s="10"/>
      <c r="AK17" s="10">
        <v>681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28"/>
      <c r="CK17" s="181"/>
      <c r="CL17" s="46">
        <f t="shared" si="2"/>
        <v>0</v>
      </c>
      <c r="CM17" s="46">
        <f t="shared" si="2"/>
        <v>1428.73</v>
      </c>
      <c r="CN17" s="46">
        <f t="shared" si="3"/>
        <v>1428.73</v>
      </c>
      <c r="CO17" s="48"/>
      <c r="CP17" s="140"/>
      <c r="CQ17" s="181"/>
      <c r="CR17" s="216">
        <f>120234.25*1.038</f>
        <v>124803.1515</v>
      </c>
      <c r="CS17" s="50"/>
      <c r="CT17" s="28">
        <v>380.68</v>
      </c>
      <c r="CU17" s="28"/>
      <c r="CV17" s="8">
        <f>2096.09*0.71</f>
        <v>1488.2239</v>
      </c>
      <c r="CW17" s="28"/>
      <c r="CX17" s="127"/>
      <c r="CY17" s="39"/>
      <c r="CZ17" s="39"/>
      <c r="DA17" s="39"/>
      <c r="DB17" s="39"/>
      <c r="DC17" s="39"/>
      <c r="DD17" s="216"/>
      <c r="DE17" s="181"/>
      <c r="DF17" s="181"/>
      <c r="DG17" s="173"/>
      <c r="DH17" s="173"/>
      <c r="DI17" s="217">
        <f t="shared" si="4"/>
        <v>244730.70805000002</v>
      </c>
      <c r="DJ17" s="218">
        <f t="shared" si="4"/>
        <v>251463.75220000002</v>
      </c>
      <c r="DK17" s="183">
        <f t="shared" si="5"/>
        <v>496194.46025</v>
      </c>
      <c r="DM17" s="195"/>
      <c r="DO17" s="195"/>
    </row>
    <row r="18" spans="1:119" ht="19.5" thickBot="1">
      <c r="A18" s="6">
        <v>12</v>
      </c>
      <c r="B18" s="6" t="s">
        <v>20</v>
      </c>
      <c r="C18" s="203">
        <f>(227525.26+14985.97)*1.03</f>
        <v>249786.5669</v>
      </c>
      <c r="D18" s="7">
        <f>114189.33*1.03</f>
        <v>117615.0099</v>
      </c>
      <c r="E18" s="7">
        <f>(50055.56+3296.92)*1.035</f>
        <v>55219.81679999999</v>
      </c>
      <c r="F18" s="7">
        <f>25578.26*1.035</f>
        <v>26473.499099999997</v>
      </c>
      <c r="G18" s="8"/>
      <c r="H18" s="8"/>
      <c r="I18" s="8"/>
      <c r="J18" s="8"/>
      <c r="K18" s="8"/>
      <c r="L18" s="8"/>
      <c r="M18" s="8"/>
      <c r="N18" s="8"/>
      <c r="O18" s="8"/>
      <c r="P18" s="8">
        <v>1300</v>
      </c>
      <c r="Q18" s="8"/>
      <c r="R18" s="8"/>
      <c r="S18" s="8"/>
      <c r="T18" s="8"/>
      <c r="U18" s="8"/>
      <c r="V18" s="8">
        <v>3840</v>
      </c>
      <c r="W18" s="8"/>
      <c r="X18" s="8"/>
      <c r="Y18" s="8"/>
      <c r="Z18" s="8"/>
      <c r="AA18" s="153">
        <f t="shared" si="6"/>
        <v>0</v>
      </c>
      <c r="AB18" s="153">
        <f t="shared" si="6"/>
        <v>5140</v>
      </c>
      <c r="AC18" s="153">
        <f t="shared" si="1"/>
        <v>5140</v>
      </c>
      <c r="AD18" s="9"/>
      <c r="AE18" s="127">
        <v>-8196.4</v>
      </c>
      <c r="AF18" s="50"/>
      <c r="AG18" s="10">
        <v>101.47</v>
      </c>
      <c r="AH18" s="32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222"/>
      <c r="CD18" s="10"/>
      <c r="CE18" s="10"/>
      <c r="CF18" s="10"/>
      <c r="CG18" s="10"/>
      <c r="CH18" s="10"/>
      <c r="CI18" s="10"/>
      <c r="CJ18" s="28"/>
      <c r="CK18" s="181"/>
      <c r="CL18" s="46">
        <f t="shared" si="2"/>
        <v>0</v>
      </c>
      <c r="CM18" s="46">
        <f t="shared" si="2"/>
        <v>101.47</v>
      </c>
      <c r="CN18" s="46">
        <f t="shared" si="3"/>
        <v>101.47</v>
      </c>
      <c r="CO18" s="48"/>
      <c r="CP18" s="140"/>
      <c r="CQ18" s="181"/>
      <c r="CR18" s="216">
        <f>116890.85*1.038</f>
        <v>121332.7023</v>
      </c>
      <c r="CS18" s="50"/>
      <c r="CT18" s="28"/>
      <c r="CU18" s="28"/>
      <c r="CV18" s="8">
        <f>8621.44*0.71</f>
        <v>6121.2224</v>
      </c>
      <c r="CW18" s="28"/>
      <c r="CX18" s="127"/>
      <c r="CY18" s="39"/>
      <c r="CZ18" s="215"/>
      <c r="DA18" s="39"/>
      <c r="DB18" s="39"/>
      <c r="DC18" s="39"/>
      <c r="DD18" s="216"/>
      <c r="DE18" s="181"/>
      <c r="DF18" s="181"/>
      <c r="DG18" s="173"/>
      <c r="DH18" s="173"/>
      <c r="DI18" s="217">
        <f t="shared" si="4"/>
        <v>305006.3837</v>
      </c>
      <c r="DJ18" s="218">
        <f t="shared" si="4"/>
        <v>268587.50370000006</v>
      </c>
      <c r="DK18" s="183">
        <f t="shared" si="5"/>
        <v>573593.8874000001</v>
      </c>
      <c r="DM18" s="195"/>
      <c r="DO18" s="195"/>
    </row>
    <row r="19" spans="1:119" ht="19.5" thickBot="1">
      <c r="A19" s="6">
        <v>13</v>
      </c>
      <c r="B19" s="6" t="s">
        <v>21</v>
      </c>
      <c r="C19" s="203">
        <f>229955.53*1.03</f>
        <v>236854.1959</v>
      </c>
      <c r="D19" s="7">
        <f>55483.4*1.03</f>
        <v>57147.902</v>
      </c>
      <c r="E19" s="7">
        <f>50152.85*1.035</f>
        <v>51908.19974999999</v>
      </c>
      <c r="F19" s="7">
        <f>13816.91*1.035</f>
        <v>14300.501849999999</v>
      </c>
      <c r="G19" s="8"/>
      <c r="H19" s="8"/>
      <c r="I19" s="8"/>
      <c r="J19" s="8"/>
      <c r="K19" s="8"/>
      <c r="L19" s="8"/>
      <c r="M19" s="8"/>
      <c r="N19" s="8"/>
      <c r="O19" s="8"/>
      <c r="P19" s="8">
        <f>2727+1740+1950+540+120+110</f>
        <v>7187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153">
        <f t="shared" si="6"/>
        <v>0</v>
      </c>
      <c r="AB19" s="153">
        <f t="shared" si="6"/>
        <v>7187</v>
      </c>
      <c r="AC19" s="153">
        <f t="shared" si="1"/>
        <v>7187</v>
      </c>
      <c r="AD19" s="9"/>
      <c r="AE19" s="127"/>
      <c r="AF19" s="50"/>
      <c r="AG19" s="10">
        <v>703.87</v>
      </c>
      <c r="AH19" s="32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28"/>
      <c r="CK19" s="181"/>
      <c r="CL19" s="46">
        <f t="shared" si="2"/>
        <v>0</v>
      </c>
      <c r="CM19" s="46">
        <f t="shared" si="2"/>
        <v>703.87</v>
      </c>
      <c r="CN19" s="46">
        <f t="shared" si="3"/>
        <v>703.87</v>
      </c>
      <c r="CO19" s="48"/>
      <c r="CP19" s="50"/>
      <c r="CQ19" s="181"/>
      <c r="CR19" s="259">
        <f>83595.34*1.038</f>
        <v>86771.96292</v>
      </c>
      <c r="CS19" s="50"/>
      <c r="CT19" s="28"/>
      <c r="CU19" s="28"/>
      <c r="CV19" s="8">
        <f>4807*0.71</f>
        <v>3412.97</v>
      </c>
      <c r="CW19" s="28"/>
      <c r="CX19" s="127"/>
      <c r="CY19" s="39"/>
      <c r="CZ19" s="39"/>
      <c r="DA19" s="39"/>
      <c r="DB19" s="39"/>
      <c r="DC19" s="39"/>
      <c r="DD19" s="216"/>
      <c r="DE19" s="181"/>
      <c r="DF19" s="181"/>
      <c r="DG19" s="173"/>
      <c r="DH19" s="173"/>
      <c r="DI19" s="217">
        <f t="shared" si="4"/>
        <v>288762.39564999996</v>
      </c>
      <c r="DJ19" s="218">
        <f t="shared" si="4"/>
        <v>169524.20677000002</v>
      </c>
      <c r="DK19" s="183">
        <f t="shared" si="5"/>
        <v>458286.60242</v>
      </c>
      <c r="DM19" s="195"/>
      <c r="DO19" s="195"/>
    </row>
    <row r="20" spans="1:119" ht="38.25" thickBot="1">
      <c r="A20" s="6">
        <v>14</v>
      </c>
      <c r="B20" s="6" t="s">
        <v>75</v>
      </c>
      <c r="C20" s="203">
        <f>241121.64*1.03</f>
        <v>248355.28920000003</v>
      </c>
      <c r="D20" s="7">
        <f>73422.7*1.03</f>
        <v>75625.381</v>
      </c>
      <c r="E20" s="7">
        <f>53391.4*1.035</f>
        <v>55260.098999999995</v>
      </c>
      <c r="F20" s="7">
        <f>19485.05*1.035</f>
        <v>20167.026749999997</v>
      </c>
      <c r="G20" s="8"/>
      <c r="H20" s="8"/>
      <c r="I20" s="8"/>
      <c r="J20" s="8"/>
      <c r="K20" s="8"/>
      <c r="L20" s="8"/>
      <c r="M20" s="8"/>
      <c r="N20" s="8"/>
      <c r="O20" s="8"/>
      <c r="P20" s="8">
        <f>2727+1740+1950+360+110+260</f>
        <v>7147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153">
        <f t="shared" si="6"/>
        <v>0</v>
      </c>
      <c r="AB20" s="153">
        <f t="shared" si="6"/>
        <v>7147</v>
      </c>
      <c r="AC20" s="153">
        <f t="shared" si="1"/>
        <v>7147</v>
      </c>
      <c r="AD20" s="9"/>
      <c r="AE20" s="127">
        <v>-2921.4</v>
      </c>
      <c r="AF20" s="50"/>
      <c r="AG20" s="10">
        <v>745.33</v>
      </c>
      <c r="AH20" s="32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7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>
        <v>1307.65</v>
      </c>
      <c r="CH20" s="10"/>
      <c r="CI20" s="10"/>
      <c r="CJ20" s="28"/>
      <c r="CK20" s="181"/>
      <c r="CL20" s="46">
        <f t="shared" si="2"/>
        <v>0</v>
      </c>
      <c r="CM20" s="46">
        <f t="shared" si="2"/>
        <v>2052.98</v>
      </c>
      <c r="CN20" s="46">
        <f t="shared" si="3"/>
        <v>2052.98</v>
      </c>
      <c r="CO20" s="48"/>
      <c r="CP20" s="140"/>
      <c r="CQ20" s="181"/>
      <c r="CR20" s="216">
        <f>126071.07*1.038</f>
        <v>130861.77066000001</v>
      </c>
      <c r="CS20" s="50"/>
      <c r="CT20" s="28"/>
      <c r="CU20" s="28"/>
      <c r="CV20" s="8">
        <f>2357*0.71</f>
        <v>1673.47</v>
      </c>
      <c r="CW20" s="28"/>
      <c r="CX20" s="127"/>
      <c r="CY20" s="39"/>
      <c r="CZ20" s="215"/>
      <c r="DA20" s="39"/>
      <c r="DB20" s="39"/>
      <c r="DC20" s="39"/>
      <c r="DD20" s="216"/>
      <c r="DE20" s="181"/>
      <c r="DF20" s="181"/>
      <c r="DG20" s="173"/>
      <c r="DH20" s="173"/>
      <c r="DI20" s="217">
        <f t="shared" si="4"/>
        <v>303615.38820000004</v>
      </c>
      <c r="DJ20" s="218">
        <f t="shared" si="4"/>
        <v>234606.22841</v>
      </c>
      <c r="DK20" s="183">
        <f t="shared" si="5"/>
        <v>538221.61661</v>
      </c>
      <c r="DM20" s="195"/>
      <c r="DO20" s="195"/>
    </row>
    <row r="21" spans="1:119" ht="19.5" thickBot="1">
      <c r="A21" s="6">
        <v>15</v>
      </c>
      <c r="B21" s="6" t="s">
        <v>22</v>
      </c>
      <c r="C21" s="203">
        <f>273142.71*1.03</f>
        <v>281336.99130000005</v>
      </c>
      <c r="D21" s="7">
        <f>71092.29*1.03</f>
        <v>73225.0587</v>
      </c>
      <c r="E21" s="7">
        <f>58655.6*1.035</f>
        <v>60708.545999999995</v>
      </c>
      <c r="F21" s="7">
        <f>16609.27*1.035</f>
        <v>17190.59445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53">
        <f t="shared" si="6"/>
        <v>0</v>
      </c>
      <c r="AB21" s="153">
        <f t="shared" si="6"/>
        <v>0</v>
      </c>
      <c r="AC21" s="153">
        <f t="shared" si="1"/>
        <v>0</v>
      </c>
      <c r="AD21" s="9"/>
      <c r="AE21" s="127">
        <v>-1908.8</v>
      </c>
      <c r="AF21" s="50"/>
      <c r="AG21" s="10">
        <v>359.6</v>
      </c>
      <c r="AH21" s="32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>
        <v>1307.65</v>
      </c>
      <c r="CH21" s="10"/>
      <c r="CI21" s="10"/>
      <c r="CJ21" s="28"/>
      <c r="CK21" s="181"/>
      <c r="CL21" s="46">
        <f t="shared" si="2"/>
        <v>0</v>
      </c>
      <c r="CM21" s="46">
        <f t="shared" si="2"/>
        <v>1667.25</v>
      </c>
      <c r="CN21" s="46">
        <f t="shared" si="3"/>
        <v>1667.25</v>
      </c>
      <c r="CO21" s="48"/>
      <c r="CP21" s="50"/>
      <c r="CQ21" s="181"/>
      <c r="CR21" s="216">
        <f>49061.63*1.038</f>
        <v>50925.971939999996</v>
      </c>
      <c r="CS21" s="50"/>
      <c r="CT21" s="28">
        <v>484.51</v>
      </c>
      <c r="CU21" s="28"/>
      <c r="CV21" s="8">
        <f>2849*0.71</f>
        <v>2022.79</v>
      </c>
      <c r="CW21" s="28"/>
      <c r="CX21" s="127"/>
      <c r="CY21" s="39"/>
      <c r="CZ21" s="39"/>
      <c r="DA21" s="39"/>
      <c r="DB21" s="39"/>
      <c r="DC21" s="39"/>
      <c r="DD21" s="36"/>
      <c r="DE21" s="181"/>
      <c r="DF21" s="181"/>
      <c r="DG21" s="173"/>
      <c r="DH21" s="173"/>
      <c r="DI21" s="217">
        <f t="shared" si="4"/>
        <v>342045.5373</v>
      </c>
      <c r="DJ21" s="218">
        <f t="shared" si="4"/>
        <v>143607.37509000002</v>
      </c>
      <c r="DK21" s="183">
        <f t="shared" si="5"/>
        <v>485652.91239000007</v>
      </c>
      <c r="DM21" s="195"/>
      <c r="DO21" s="195"/>
    </row>
    <row r="22" spans="1:119" ht="19.5" thickBot="1">
      <c r="A22" s="6">
        <v>16</v>
      </c>
      <c r="B22" s="6" t="s">
        <v>23</v>
      </c>
      <c r="C22" s="203">
        <f>196778.11*1.03</f>
        <v>202681.4533</v>
      </c>
      <c r="D22" s="7">
        <f>59608.68*1.03</f>
        <v>61396.9404</v>
      </c>
      <c r="E22" s="7">
        <f>52754.61*1.035</f>
        <v>54601.021349999995</v>
      </c>
      <c r="F22" s="7">
        <f>11864.56*1.035</f>
        <v>12279.819599999999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153">
        <f t="shared" si="6"/>
        <v>0</v>
      </c>
      <c r="AB22" s="153">
        <f t="shared" si="6"/>
        <v>0</v>
      </c>
      <c r="AC22" s="153">
        <f t="shared" si="1"/>
        <v>0</v>
      </c>
      <c r="AD22" s="9"/>
      <c r="AE22" s="213">
        <v>-8110.9</v>
      </c>
      <c r="AF22" s="50"/>
      <c r="AG22" s="10">
        <v>703.88</v>
      </c>
      <c r="AH22" s="32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>
        <v>1307.65</v>
      </c>
      <c r="CH22" s="10"/>
      <c r="CI22" s="10"/>
      <c r="CJ22" s="28"/>
      <c r="CK22" s="181"/>
      <c r="CL22" s="46">
        <f t="shared" si="2"/>
        <v>0</v>
      </c>
      <c r="CM22" s="46">
        <f t="shared" si="2"/>
        <v>2011.5300000000002</v>
      </c>
      <c r="CN22" s="46">
        <f t="shared" si="3"/>
        <v>2011.5300000000002</v>
      </c>
      <c r="CO22" s="48"/>
      <c r="CP22" s="50"/>
      <c r="CQ22" s="181"/>
      <c r="CR22" s="216">
        <f>103154.53*1.038</f>
        <v>107074.40214</v>
      </c>
      <c r="CS22" s="140"/>
      <c r="CT22" s="8"/>
      <c r="CU22" s="28"/>
      <c r="CV22" s="8">
        <f>11093.59*0.71</f>
        <v>7876.448899999999</v>
      </c>
      <c r="CW22" s="28"/>
      <c r="CX22" s="127"/>
      <c r="CY22" s="39"/>
      <c r="CZ22" s="39"/>
      <c r="DA22" s="39"/>
      <c r="DB22" s="39"/>
      <c r="DC22" s="39"/>
      <c r="DD22" s="216"/>
      <c r="DE22" s="181"/>
      <c r="DF22" s="181"/>
      <c r="DG22" s="173"/>
      <c r="DH22" s="173"/>
      <c r="DI22" s="217">
        <f t="shared" si="4"/>
        <v>257282.47465</v>
      </c>
      <c r="DJ22" s="218">
        <f t="shared" si="4"/>
        <v>182528.24104</v>
      </c>
      <c r="DK22" s="183">
        <f t="shared" si="5"/>
        <v>439810.71569</v>
      </c>
      <c r="DM22" s="195"/>
      <c r="DO22" s="195"/>
    </row>
    <row r="23" spans="1:119" ht="19.5" thickBot="1">
      <c r="A23" s="6">
        <v>17</v>
      </c>
      <c r="B23" s="6" t="s">
        <v>24</v>
      </c>
      <c r="C23" s="203">
        <f>190669.88*1.03</f>
        <v>196389.9764</v>
      </c>
      <c r="D23" s="7">
        <f>57119.82*1.03</f>
        <v>58833.414600000004</v>
      </c>
      <c r="E23" s="7">
        <f>42284.94*1.035</f>
        <v>43764.912899999996</v>
      </c>
      <c r="F23" s="7">
        <f>13294.46*1.035</f>
        <v>13759.766099999999</v>
      </c>
      <c r="G23" s="8"/>
      <c r="H23" s="8"/>
      <c r="I23" s="8"/>
      <c r="J23" s="8"/>
      <c r="K23" s="8"/>
      <c r="L23" s="8"/>
      <c r="M23" s="8"/>
      <c r="N23" s="8"/>
      <c r="O23" s="8"/>
      <c r="P23" s="8">
        <f>2727+1520+1950+360+120+110+110+110+260</f>
        <v>7267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153">
        <f t="shared" si="6"/>
        <v>0</v>
      </c>
      <c r="AB23" s="153">
        <f t="shared" si="6"/>
        <v>7267</v>
      </c>
      <c r="AC23" s="153">
        <f t="shared" si="1"/>
        <v>7267</v>
      </c>
      <c r="AD23" s="9"/>
      <c r="AE23" s="127"/>
      <c r="AF23" s="50"/>
      <c r="AG23" s="10">
        <v>410.88</v>
      </c>
      <c r="AH23" s="32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>
        <v>1307.65</v>
      </c>
      <c r="CH23" s="10"/>
      <c r="CI23" s="10"/>
      <c r="CJ23" s="28"/>
      <c r="CK23" s="181"/>
      <c r="CL23" s="46">
        <f t="shared" si="2"/>
        <v>0</v>
      </c>
      <c r="CM23" s="46">
        <f t="shared" si="2"/>
        <v>1718.5300000000002</v>
      </c>
      <c r="CN23" s="46">
        <f t="shared" si="3"/>
        <v>1718.5300000000002</v>
      </c>
      <c r="CO23" s="48"/>
      <c r="CP23" s="140"/>
      <c r="CQ23" s="181"/>
      <c r="CR23" s="216">
        <f>42233.39*1.038</f>
        <v>43838.25882</v>
      </c>
      <c r="CS23" s="140"/>
      <c r="CT23" s="28"/>
      <c r="CU23" s="28"/>
      <c r="CV23" s="8">
        <f>4471.92*0.71</f>
        <v>3175.0632</v>
      </c>
      <c r="CW23" s="28"/>
      <c r="CX23" s="127"/>
      <c r="CY23" s="39"/>
      <c r="CZ23" s="39"/>
      <c r="DA23" s="39"/>
      <c r="DB23" s="39"/>
      <c r="DC23" s="39"/>
      <c r="DD23" s="36"/>
      <c r="DE23" s="181"/>
      <c r="DF23" s="181"/>
      <c r="DG23" s="173"/>
      <c r="DH23" s="173"/>
      <c r="DI23" s="217">
        <f t="shared" si="4"/>
        <v>240154.8893</v>
      </c>
      <c r="DJ23" s="218">
        <f t="shared" si="4"/>
        <v>128592.03272</v>
      </c>
      <c r="DK23" s="183">
        <f t="shared" si="5"/>
        <v>368746.92202</v>
      </c>
      <c r="DM23" s="195"/>
      <c r="DO23" s="195"/>
    </row>
    <row r="24" spans="1:119" ht="36" customHeight="1" thickBot="1">
      <c r="A24" s="6">
        <v>18</v>
      </c>
      <c r="B24" s="6" t="s">
        <v>25</v>
      </c>
      <c r="C24" s="203">
        <f>249306.79*1.03</f>
        <v>256785.99370000002</v>
      </c>
      <c r="D24" s="7">
        <f>80542.73*1.03</f>
        <v>82959.0119</v>
      </c>
      <c r="E24" s="7">
        <f>57229.94*1.035</f>
        <v>59232.9879</v>
      </c>
      <c r="F24" s="7">
        <f>17834.3*1.035</f>
        <v>18458.5005</v>
      </c>
      <c r="G24" s="8"/>
      <c r="H24" s="8"/>
      <c r="I24" s="8"/>
      <c r="J24" s="8"/>
      <c r="K24" s="8"/>
      <c r="L24" s="8"/>
      <c r="M24" s="8"/>
      <c r="N24" s="8"/>
      <c r="O24" s="8"/>
      <c r="P24" s="8">
        <v>1740</v>
      </c>
      <c r="Q24" s="8"/>
      <c r="R24" s="8"/>
      <c r="S24" s="8"/>
      <c r="T24" s="8"/>
      <c r="U24" s="8"/>
      <c r="V24" s="8"/>
      <c r="W24" s="8"/>
      <c r="X24" s="8"/>
      <c r="Y24" s="8"/>
      <c r="Z24" s="9"/>
      <c r="AA24" s="153">
        <f t="shared" si="6"/>
        <v>0</v>
      </c>
      <c r="AB24" s="153">
        <f t="shared" si="6"/>
        <v>1740</v>
      </c>
      <c r="AC24" s="153">
        <f t="shared" si="1"/>
        <v>1740</v>
      </c>
      <c r="AD24" s="9"/>
      <c r="AE24" s="127"/>
      <c r="AF24" s="50"/>
      <c r="AG24" s="10">
        <v>400.75</v>
      </c>
      <c r="AH24" s="3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>
        <v>1307.65</v>
      </c>
      <c r="CH24" s="10"/>
      <c r="CI24" s="10"/>
      <c r="CJ24" s="28"/>
      <c r="CK24" s="181"/>
      <c r="CL24" s="46">
        <f t="shared" si="2"/>
        <v>0</v>
      </c>
      <c r="CM24" s="46">
        <f t="shared" si="2"/>
        <v>1708.4</v>
      </c>
      <c r="CN24" s="46">
        <f t="shared" si="3"/>
        <v>1708.4</v>
      </c>
      <c r="CO24" s="48"/>
      <c r="CP24" s="140"/>
      <c r="CQ24" s="181"/>
      <c r="CR24" s="216">
        <f>108997.11*1.038</f>
        <v>113139.00018</v>
      </c>
      <c r="CS24" s="50"/>
      <c r="CT24" s="28"/>
      <c r="CU24" s="28"/>
      <c r="CV24" s="8">
        <f>7452*0.71</f>
        <v>5290.92</v>
      </c>
      <c r="CW24" s="28"/>
      <c r="CX24" s="127"/>
      <c r="CY24" s="39"/>
      <c r="CZ24" s="215"/>
      <c r="DA24" s="39"/>
      <c r="DB24" s="39"/>
      <c r="DC24" s="39"/>
      <c r="DD24" s="216"/>
      <c r="DE24" s="181"/>
      <c r="DF24" s="181"/>
      <c r="DG24" s="173"/>
      <c r="DH24" s="173"/>
      <c r="DI24" s="217">
        <f t="shared" si="4"/>
        <v>316018.9816</v>
      </c>
      <c r="DJ24" s="218">
        <f t="shared" si="4"/>
        <v>223295.83258000002</v>
      </c>
      <c r="DK24" s="183">
        <f t="shared" si="5"/>
        <v>539314.81418</v>
      </c>
      <c r="DM24" s="195"/>
      <c r="DO24" s="195"/>
    </row>
    <row r="25" spans="1:119" ht="32.25" customHeight="1" thickBot="1">
      <c r="A25" s="6">
        <v>19</v>
      </c>
      <c r="B25" s="6" t="s">
        <v>11</v>
      </c>
      <c r="C25" s="203">
        <f>214870.76*1.03</f>
        <v>221316.88280000002</v>
      </c>
      <c r="D25" s="7">
        <f>90282.73*1.03</f>
        <v>92991.2119</v>
      </c>
      <c r="E25" s="7">
        <f>46271.82*1.035</f>
        <v>47891.333699999996</v>
      </c>
      <c r="F25" s="7">
        <f>21602.75*1.035</f>
        <v>22358.84625</v>
      </c>
      <c r="G25" s="8"/>
      <c r="H25" s="8"/>
      <c r="I25" s="8"/>
      <c r="J25" s="8"/>
      <c r="K25" s="8"/>
      <c r="L25" s="8"/>
      <c r="M25" s="8"/>
      <c r="N25" s="8"/>
      <c r="O25" s="8"/>
      <c r="P25" s="8">
        <f>2727+1520+1950+360+110+110+260</f>
        <v>7037</v>
      </c>
      <c r="Q25" s="8"/>
      <c r="R25" s="8"/>
      <c r="S25" s="8"/>
      <c r="T25" s="8"/>
      <c r="U25" s="8"/>
      <c r="V25" s="8"/>
      <c r="W25" s="8"/>
      <c r="X25" s="8"/>
      <c r="Y25" s="8"/>
      <c r="Z25" s="9"/>
      <c r="AA25" s="153">
        <f t="shared" si="6"/>
        <v>0</v>
      </c>
      <c r="AB25" s="153">
        <f t="shared" si="6"/>
        <v>7037</v>
      </c>
      <c r="AC25" s="153">
        <f t="shared" si="1"/>
        <v>7037</v>
      </c>
      <c r="AD25" s="9"/>
      <c r="AE25" s="127"/>
      <c r="AF25" s="50"/>
      <c r="AG25" s="10">
        <v>400.75</v>
      </c>
      <c r="AH25" s="32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>
        <v>1307.65</v>
      </c>
      <c r="CH25" s="10"/>
      <c r="CI25" s="10"/>
      <c r="CJ25" s="28"/>
      <c r="CK25" s="181"/>
      <c r="CL25" s="46">
        <f t="shared" si="2"/>
        <v>0</v>
      </c>
      <c r="CM25" s="46">
        <f t="shared" si="2"/>
        <v>1708.4</v>
      </c>
      <c r="CN25" s="46">
        <f t="shared" si="3"/>
        <v>1708.4</v>
      </c>
      <c r="CO25" s="48"/>
      <c r="CP25" s="140"/>
      <c r="CQ25" s="181"/>
      <c r="CR25" s="216">
        <f>82385.36*1.038</f>
        <v>85516.00368000001</v>
      </c>
      <c r="CS25" s="50"/>
      <c r="CT25" s="28"/>
      <c r="CU25" s="28"/>
      <c r="CV25" s="8">
        <f>11389*0.71</f>
        <v>8086.19</v>
      </c>
      <c r="CW25" s="28"/>
      <c r="CX25" s="127"/>
      <c r="CY25" s="39"/>
      <c r="CZ25" s="215"/>
      <c r="DA25" s="39"/>
      <c r="DB25" s="39"/>
      <c r="DC25" s="39"/>
      <c r="DD25" s="36"/>
      <c r="DE25" s="181"/>
      <c r="DF25" s="181"/>
      <c r="DG25" s="173"/>
      <c r="DH25" s="173"/>
      <c r="DI25" s="217">
        <f t="shared" si="4"/>
        <v>269208.21650000004</v>
      </c>
      <c r="DJ25" s="218">
        <f t="shared" si="4"/>
        <v>217697.65183</v>
      </c>
      <c r="DK25" s="183">
        <f t="shared" si="5"/>
        <v>486905.86833</v>
      </c>
      <c r="DM25" s="195"/>
      <c r="DO25" s="195"/>
    </row>
    <row r="26" spans="1:119" ht="19.5" thickBot="1">
      <c r="A26" s="6">
        <v>20</v>
      </c>
      <c r="B26" s="6" t="s">
        <v>26</v>
      </c>
      <c r="C26" s="203">
        <f>189435.17*1.03</f>
        <v>195118.2251</v>
      </c>
      <c r="D26" s="7">
        <f>71447.31*1.03</f>
        <v>73590.7293</v>
      </c>
      <c r="E26" s="7">
        <f>41734.2*1.035</f>
        <v>43194.897</v>
      </c>
      <c r="F26" s="7">
        <f>15144.24*1.035</f>
        <v>15674.2884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153">
        <f t="shared" si="6"/>
        <v>0</v>
      </c>
      <c r="AB26" s="153">
        <f t="shared" si="6"/>
        <v>0</v>
      </c>
      <c r="AC26" s="153">
        <f t="shared" si="1"/>
        <v>0</v>
      </c>
      <c r="AD26" s="9"/>
      <c r="AE26" s="127"/>
      <c r="AF26" s="50"/>
      <c r="AG26" s="10">
        <v>101.47</v>
      </c>
      <c r="AH26" s="32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>
        <v>1307.65</v>
      </c>
      <c r="CH26" s="10"/>
      <c r="CI26" s="10"/>
      <c r="CJ26" s="28"/>
      <c r="CK26" s="181"/>
      <c r="CL26" s="46">
        <f t="shared" si="2"/>
        <v>0</v>
      </c>
      <c r="CM26" s="46">
        <f t="shared" si="2"/>
        <v>1409.1200000000001</v>
      </c>
      <c r="CN26" s="46">
        <f t="shared" si="3"/>
        <v>1409.1200000000001</v>
      </c>
      <c r="CO26" s="48"/>
      <c r="CP26" s="140"/>
      <c r="CQ26" s="181"/>
      <c r="CR26" s="216">
        <f>125664.5*1.038</f>
        <v>130439.751</v>
      </c>
      <c r="CS26" s="50"/>
      <c r="CT26" s="28"/>
      <c r="CU26" s="28"/>
      <c r="CV26" s="8">
        <f>2287.74*0.71</f>
        <v>1624.2953999999997</v>
      </c>
      <c r="CW26" s="28"/>
      <c r="CX26" s="127"/>
      <c r="CY26" s="39"/>
      <c r="CZ26" s="39"/>
      <c r="DA26" s="39"/>
      <c r="DB26" s="39"/>
      <c r="DC26" s="39"/>
      <c r="DD26" s="216"/>
      <c r="DE26" s="181"/>
      <c r="DF26" s="181"/>
      <c r="DG26" s="173"/>
      <c r="DH26" s="173"/>
      <c r="DI26" s="217">
        <f t="shared" si="4"/>
        <v>238313.1221</v>
      </c>
      <c r="DJ26" s="218">
        <f t="shared" si="4"/>
        <v>222738.1841</v>
      </c>
      <c r="DK26" s="183">
        <f t="shared" si="5"/>
        <v>461051.3062</v>
      </c>
      <c r="DM26" s="195"/>
      <c r="DO26" s="195"/>
    </row>
    <row r="27" spans="1:119" ht="19.5" thickBot="1">
      <c r="A27" s="6">
        <v>21</v>
      </c>
      <c r="B27" s="6" t="s">
        <v>27</v>
      </c>
      <c r="C27" s="203">
        <f>211561.54*1.03</f>
        <v>217908.3862</v>
      </c>
      <c r="D27" s="7">
        <f>65956.97*1.03</f>
        <v>67935.67910000001</v>
      </c>
      <c r="E27" s="7">
        <f>58815.18*1.035</f>
        <v>60873.711299999995</v>
      </c>
      <c r="F27" s="7">
        <f>13640.08*1.035</f>
        <v>14117.482799999998</v>
      </c>
      <c r="G27" s="8"/>
      <c r="H27" s="8"/>
      <c r="I27" s="8"/>
      <c r="J27" s="8"/>
      <c r="K27" s="8"/>
      <c r="L27" s="8"/>
      <c r="M27" s="8"/>
      <c r="N27" s="8"/>
      <c r="O27" s="8"/>
      <c r="P27" s="8">
        <f>2727+1660+1950+180+120+110+110+110+260</f>
        <v>7227</v>
      </c>
      <c r="Q27" s="8"/>
      <c r="R27" s="8"/>
      <c r="S27" s="8"/>
      <c r="T27" s="8"/>
      <c r="U27" s="8"/>
      <c r="V27" s="8"/>
      <c r="W27" s="8"/>
      <c r="X27" s="8"/>
      <c r="Y27" s="8"/>
      <c r="Z27" s="9"/>
      <c r="AA27" s="153">
        <f t="shared" si="6"/>
        <v>0</v>
      </c>
      <c r="AB27" s="153">
        <f t="shared" si="6"/>
        <v>7227</v>
      </c>
      <c r="AC27" s="153">
        <f t="shared" si="1"/>
        <v>7227</v>
      </c>
      <c r="AD27" s="9"/>
      <c r="AE27" s="127"/>
      <c r="AF27" s="50"/>
      <c r="AG27" s="10">
        <v>105.68</v>
      </c>
      <c r="AH27" s="32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222"/>
      <c r="CD27" s="10"/>
      <c r="CE27" s="10"/>
      <c r="CF27" s="10"/>
      <c r="CG27" s="10">
        <v>1307.65</v>
      </c>
      <c r="CH27" s="10"/>
      <c r="CI27" s="10"/>
      <c r="CJ27" s="28"/>
      <c r="CK27" s="181"/>
      <c r="CL27" s="46">
        <f t="shared" si="2"/>
        <v>0</v>
      </c>
      <c r="CM27" s="46">
        <f t="shared" si="2"/>
        <v>1413.3300000000002</v>
      </c>
      <c r="CN27" s="46">
        <f t="shared" si="3"/>
        <v>1413.3300000000002</v>
      </c>
      <c r="CO27" s="48"/>
      <c r="CP27" s="140"/>
      <c r="CQ27" s="181"/>
      <c r="CR27" s="216">
        <f>112464.12*1.038</f>
        <v>116737.75656</v>
      </c>
      <c r="CS27" s="50"/>
      <c r="CT27" s="8">
        <v>532.27</v>
      </c>
      <c r="CU27" s="28"/>
      <c r="CV27" s="8">
        <f>3132*0.71</f>
        <v>2223.72</v>
      </c>
      <c r="CW27" s="28"/>
      <c r="CX27" s="127"/>
      <c r="CY27" s="39"/>
      <c r="CZ27" s="215"/>
      <c r="DA27" s="39"/>
      <c r="DB27" s="39"/>
      <c r="DC27" s="39"/>
      <c r="DD27" s="36"/>
      <c r="DE27" s="181"/>
      <c r="DF27" s="181"/>
      <c r="DG27" s="173"/>
      <c r="DH27" s="173"/>
      <c r="DI27" s="217">
        <f t="shared" si="4"/>
        <v>278782.09750000003</v>
      </c>
      <c r="DJ27" s="218">
        <f t="shared" si="4"/>
        <v>210187.23846</v>
      </c>
      <c r="DK27" s="183">
        <f t="shared" si="5"/>
        <v>488969.33596000005</v>
      </c>
      <c r="DM27" s="195"/>
      <c r="DO27" s="195"/>
    </row>
    <row r="28" spans="1:119" ht="19.5" thickBot="1">
      <c r="A28" s="6">
        <v>22</v>
      </c>
      <c r="B28" s="6" t="s">
        <v>28</v>
      </c>
      <c r="C28" s="203">
        <f>312790.06*1.03</f>
        <v>322173.7618</v>
      </c>
      <c r="D28" s="7">
        <f>83852.19*1.03</f>
        <v>86367.75570000001</v>
      </c>
      <c r="E28" s="7">
        <f>65126.49*1.035</f>
        <v>67405.91715</v>
      </c>
      <c r="F28" s="7">
        <f>20592.77*1.035</f>
        <v>21313.516949999997</v>
      </c>
      <c r="G28" s="8"/>
      <c r="H28" s="8"/>
      <c r="I28" s="8"/>
      <c r="J28" s="8"/>
      <c r="K28" s="8"/>
      <c r="L28" s="8"/>
      <c r="M28" s="8"/>
      <c r="N28" s="8"/>
      <c r="O28" s="8"/>
      <c r="P28" s="8">
        <f>500+240</f>
        <v>740</v>
      </c>
      <c r="Q28" s="8"/>
      <c r="R28" s="8"/>
      <c r="S28" s="8"/>
      <c r="T28" s="8"/>
      <c r="U28" s="8"/>
      <c r="V28" s="8">
        <v>61084.8</v>
      </c>
      <c r="W28" s="8"/>
      <c r="X28" s="8"/>
      <c r="Y28" s="8"/>
      <c r="Z28" s="8"/>
      <c r="AA28" s="153">
        <f t="shared" si="6"/>
        <v>0</v>
      </c>
      <c r="AB28" s="153">
        <f t="shared" si="6"/>
        <v>61824.8</v>
      </c>
      <c r="AC28" s="153">
        <f t="shared" si="1"/>
        <v>61824.8</v>
      </c>
      <c r="AD28" s="9"/>
      <c r="AE28" s="127"/>
      <c r="AF28" s="50"/>
      <c r="AG28" s="10">
        <v>467.54</v>
      </c>
      <c r="AH28" s="32"/>
      <c r="AI28" s="10">
        <v>48798</v>
      </c>
      <c r="AJ28" s="10"/>
      <c r="AK28" s="10">
        <f>681+681</f>
        <v>1362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28"/>
      <c r="CK28" s="181"/>
      <c r="CL28" s="46">
        <f t="shared" si="2"/>
        <v>0</v>
      </c>
      <c r="CM28" s="46">
        <f t="shared" si="2"/>
        <v>50627.54</v>
      </c>
      <c r="CN28" s="46">
        <f t="shared" si="3"/>
        <v>50627.54</v>
      </c>
      <c r="CO28" s="48"/>
      <c r="CP28" s="140"/>
      <c r="CQ28" s="181"/>
      <c r="CR28" s="216">
        <f>123259.15*1.038</f>
        <v>127942.99769999999</v>
      </c>
      <c r="CS28" s="50"/>
      <c r="CT28" s="28"/>
      <c r="CU28" s="28"/>
      <c r="CV28" s="8">
        <f>11381.64*0.71</f>
        <v>8080.964399999999</v>
      </c>
      <c r="CW28" s="28"/>
      <c r="CX28" s="127"/>
      <c r="CY28" s="39"/>
      <c r="CZ28" s="39"/>
      <c r="DA28" s="39"/>
      <c r="DB28" s="39"/>
      <c r="DC28" s="39"/>
      <c r="DD28" s="36"/>
      <c r="DE28" s="181"/>
      <c r="DF28" s="181"/>
      <c r="DG28" s="173"/>
      <c r="DH28" s="173"/>
      <c r="DI28" s="217">
        <f t="shared" si="4"/>
        <v>389579.67895</v>
      </c>
      <c r="DJ28" s="218">
        <f t="shared" si="4"/>
        <v>356157.57474999997</v>
      </c>
      <c r="DK28" s="183">
        <f t="shared" si="5"/>
        <v>745737.2537</v>
      </c>
      <c r="DM28" s="195"/>
      <c r="DO28" s="195"/>
    </row>
    <row r="29" spans="1:119" ht="19.5" thickBot="1">
      <c r="A29" s="6">
        <v>23</v>
      </c>
      <c r="B29" s="6" t="s">
        <v>3</v>
      </c>
      <c r="C29" s="203">
        <f>114152.68*1.03</f>
        <v>117577.2604</v>
      </c>
      <c r="D29" s="7">
        <f>47342.29*1.03</f>
        <v>48762.5587</v>
      </c>
      <c r="E29" s="7">
        <f>25113.59*1.035</f>
        <v>25992.565649999997</v>
      </c>
      <c r="F29" s="7">
        <f>11002.47*1.035</f>
        <v>11387.556449999998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153">
        <f t="shared" si="6"/>
        <v>0</v>
      </c>
      <c r="AB29" s="153">
        <f t="shared" si="6"/>
        <v>0</v>
      </c>
      <c r="AC29" s="153">
        <f t="shared" si="1"/>
        <v>0</v>
      </c>
      <c r="AD29" s="9"/>
      <c r="AE29" s="127">
        <v>-1798.3</v>
      </c>
      <c r="AF29" s="50"/>
      <c r="AG29" s="10">
        <v>101.47</v>
      </c>
      <c r="AH29" s="32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>
        <v>1307.65</v>
      </c>
      <c r="CH29" s="10"/>
      <c r="CI29" s="10"/>
      <c r="CJ29" s="28"/>
      <c r="CK29" s="181"/>
      <c r="CL29" s="46">
        <f t="shared" si="2"/>
        <v>0</v>
      </c>
      <c r="CM29" s="46">
        <f t="shared" si="2"/>
        <v>1409.1200000000001</v>
      </c>
      <c r="CN29" s="46">
        <f t="shared" si="3"/>
        <v>1409.1200000000001</v>
      </c>
      <c r="CO29" s="48"/>
      <c r="CP29" s="140"/>
      <c r="CQ29" s="181"/>
      <c r="CR29" s="216">
        <v>0</v>
      </c>
      <c r="CS29" s="50"/>
      <c r="CT29" s="28"/>
      <c r="CU29" s="28"/>
      <c r="CV29" s="8">
        <f>2955.25*0.71</f>
        <v>2098.2275</v>
      </c>
      <c r="CW29" s="28"/>
      <c r="CX29" s="127">
        <v>-986.64</v>
      </c>
      <c r="CY29" s="39"/>
      <c r="CZ29" s="39"/>
      <c r="DA29" s="39"/>
      <c r="DB29" s="39"/>
      <c r="DC29" s="39"/>
      <c r="DD29" s="36"/>
      <c r="DE29" s="181"/>
      <c r="DF29" s="181"/>
      <c r="DG29" s="173"/>
      <c r="DH29" s="173"/>
      <c r="DI29" s="217">
        <f t="shared" si="4"/>
        <v>143569.82605</v>
      </c>
      <c r="DJ29" s="218">
        <f t="shared" si="4"/>
        <v>60872.52265</v>
      </c>
      <c r="DK29" s="183">
        <f t="shared" si="5"/>
        <v>204442.3487</v>
      </c>
      <c r="DM29" s="195"/>
      <c r="DO29" s="195"/>
    </row>
    <row r="30" spans="1:119" ht="19.5" thickBot="1">
      <c r="A30" s="6">
        <v>24</v>
      </c>
      <c r="B30" s="6" t="s">
        <v>10</v>
      </c>
      <c r="C30" s="203">
        <f>628878.77*1.03</f>
        <v>647745.1331000001</v>
      </c>
      <c r="D30" s="7">
        <f>117849.58*1.03</f>
        <v>121385.0674</v>
      </c>
      <c r="E30" s="7">
        <f>129627.57*1.035</f>
        <v>134164.53495</v>
      </c>
      <c r="F30" s="7">
        <f>27615.62*1.035</f>
        <v>28582.166699999998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153">
        <f t="shared" si="6"/>
        <v>0</v>
      </c>
      <c r="AB30" s="153">
        <f t="shared" si="6"/>
        <v>0</v>
      </c>
      <c r="AC30" s="153">
        <f t="shared" si="1"/>
        <v>0</v>
      </c>
      <c r="AD30" s="9"/>
      <c r="AE30" s="127">
        <v>-2125</v>
      </c>
      <c r="AF30" s="50"/>
      <c r="AG30" s="10">
        <v>564.95</v>
      </c>
      <c r="AH30" s="32"/>
      <c r="AI30" s="10"/>
      <c r="AJ30" s="10"/>
      <c r="AK30" s="10">
        <v>579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7">
        <v>5526.2</v>
      </c>
      <c r="CF30" s="10"/>
      <c r="CG30" s="10">
        <v>1307.65</v>
      </c>
      <c r="CH30" s="10"/>
      <c r="CI30" s="10"/>
      <c r="CJ30" s="28"/>
      <c r="CK30" s="181"/>
      <c r="CL30" s="46">
        <f t="shared" si="2"/>
        <v>0</v>
      </c>
      <c r="CM30" s="46">
        <f t="shared" si="2"/>
        <v>7977.799999999999</v>
      </c>
      <c r="CN30" s="46">
        <f t="shared" si="3"/>
        <v>7977.799999999999</v>
      </c>
      <c r="CO30" s="48"/>
      <c r="CP30" s="140"/>
      <c r="CQ30" s="181"/>
      <c r="CR30" s="216">
        <f>139945.9*1.038</f>
        <v>145263.8442</v>
      </c>
      <c r="CS30" s="50"/>
      <c r="CT30" s="28">
        <v>1591.97</v>
      </c>
      <c r="CU30" s="28"/>
      <c r="CV30" s="8">
        <f>8756.42*0.71</f>
        <v>6217.0581999999995</v>
      </c>
      <c r="CW30" s="28"/>
      <c r="CX30" s="127"/>
      <c r="CY30" s="39"/>
      <c r="CZ30" s="39"/>
      <c r="DA30" s="39"/>
      <c r="DB30" s="39"/>
      <c r="DC30" s="39"/>
      <c r="DD30" s="36"/>
      <c r="DE30" s="181"/>
      <c r="DF30" s="181"/>
      <c r="DG30" s="173"/>
      <c r="DH30" s="173"/>
      <c r="DI30" s="217">
        <f t="shared" si="4"/>
        <v>781909.6680500001</v>
      </c>
      <c r="DJ30" s="218">
        <f t="shared" si="4"/>
        <v>308892.9064999999</v>
      </c>
      <c r="DK30" s="183">
        <f t="shared" si="5"/>
        <v>1090802.57455</v>
      </c>
      <c r="DM30" s="195"/>
      <c r="DO30" s="195"/>
    </row>
    <row r="31" spans="1:119" ht="19.5" thickBot="1">
      <c r="A31" s="6">
        <v>25</v>
      </c>
      <c r="B31" s="6" t="s">
        <v>29</v>
      </c>
      <c r="C31" s="203">
        <f>236799.21*1.03</f>
        <v>243903.1863</v>
      </c>
      <c r="D31" s="7">
        <f>73950.88*1.03</f>
        <v>76169.4064</v>
      </c>
      <c r="E31" s="7">
        <f>50520.87*1.035</f>
        <v>52289.10045</v>
      </c>
      <c r="F31" s="7">
        <f>15598.77*1.035</f>
        <v>16144.726949999998</v>
      </c>
      <c r="G31" s="8"/>
      <c r="H31" s="8"/>
      <c r="I31" s="8"/>
      <c r="J31" s="8"/>
      <c r="K31" s="8"/>
      <c r="L31" s="8"/>
      <c r="M31" s="8"/>
      <c r="N31" s="8"/>
      <c r="O31" s="8"/>
      <c r="P31" s="8">
        <f>2727+1950+110+110+260</f>
        <v>5157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153">
        <f t="shared" si="6"/>
        <v>0</v>
      </c>
      <c r="AB31" s="153">
        <f t="shared" si="6"/>
        <v>5157</v>
      </c>
      <c r="AC31" s="153">
        <f t="shared" si="1"/>
        <v>5157</v>
      </c>
      <c r="AD31" s="9"/>
      <c r="AE31" s="127">
        <v>-2712.7</v>
      </c>
      <c r="AF31" s="50"/>
      <c r="AG31" s="10">
        <v>145.33</v>
      </c>
      <c r="AH31" s="32"/>
      <c r="AI31" s="10"/>
      <c r="AJ31" s="10"/>
      <c r="AK31" s="10">
        <v>681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>
        <v>1307.65</v>
      </c>
      <c r="CH31" s="10"/>
      <c r="CI31" s="10"/>
      <c r="CJ31" s="28"/>
      <c r="CK31" s="181"/>
      <c r="CL31" s="46">
        <f t="shared" si="2"/>
        <v>0</v>
      </c>
      <c r="CM31" s="46">
        <f t="shared" si="2"/>
        <v>2133.98</v>
      </c>
      <c r="CN31" s="46">
        <f t="shared" si="3"/>
        <v>2133.98</v>
      </c>
      <c r="CO31" s="48"/>
      <c r="CP31" s="140"/>
      <c r="CQ31" s="181"/>
      <c r="CR31" s="216">
        <f>41026.48*1.038</f>
        <v>42585.486240000006</v>
      </c>
      <c r="CS31" s="140"/>
      <c r="CT31" s="28"/>
      <c r="CU31" s="28"/>
      <c r="CV31" s="8">
        <f>5265.89*0.71</f>
        <v>3738.7819</v>
      </c>
      <c r="CW31" s="28"/>
      <c r="CX31" s="127"/>
      <c r="CY31" s="39"/>
      <c r="CZ31" s="39"/>
      <c r="DA31" s="39"/>
      <c r="DB31" s="39"/>
      <c r="DC31" s="39"/>
      <c r="DD31" s="36"/>
      <c r="DE31" s="181"/>
      <c r="DF31" s="181"/>
      <c r="DG31" s="173"/>
      <c r="DH31" s="173"/>
      <c r="DI31" s="217">
        <f t="shared" si="4"/>
        <v>296192.28674999997</v>
      </c>
      <c r="DJ31" s="218">
        <f t="shared" si="4"/>
        <v>143216.68149000002</v>
      </c>
      <c r="DK31" s="183">
        <f t="shared" si="5"/>
        <v>439408.96823999996</v>
      </c>
      <c r="DM31" s="195"/>
      <c r="DO31" s="195"/>
    </row>
    <row r="32" spans="1:119" ht="38.25" thickBot="1">
      <c r="A32" s="6">
        <v>26</v>
      </c>
      <c r="B32" s="6" t="s">
        <v>2</v>
      </c>
      <c r="C32" s="203">
        <f>802912.67*1.03</f>
        <v>827000.0501000001</v>
      </c>
      <c r="D32" s="7">
        <f>124043.56*1.03-175.01</f>
        <v>127589.85680000001</v>
      </c>
      <c r="E32" s="7">
        <f>168966.73*1.035-1063.93</f>
        <v>173816.63555</v>
      </c>
      <c r="F32" s="7">
        <f>27747.28*1.035</f>
        <v>28718.434799999995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53">
        <f t="shared" si="6"/>
        <v>0</v>
      </c>
      <c r="AB32" s="153">
        <f t="shared" si="6"/>
        <v>0</v>
      </c>
      <c r="AC32" s="153">
        <f t="shared" si="1"/>
        <v>0</v>
      </c>
      <c r="AD32" s="9"/>
      <c r="AE32" s="127">
        <v>-11597.6</v>
      </c>
      <c r="AF32" s="50"/>
      <c r="AG32" s="7">
        <v>379.93</v>
      </c>
      <c r="AH32" s="32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>
        <v>1307.65</v>
      </c>
      <c r="CH32" s="10"/>
      <c r="CI32" s="10"/>
      <c r="CJ32" s="28"/>
      <c r="CK32" s="181"/>
      <c r="CL32" s="46">
        <f t="shared" si="2"/>
        <v>0</v>
      </c>
      <c r="CM32" s="46">
        <f t="shared" si="2"/>
        <v>1687.5800000000002</v>
      </c>
      <c r="CN32" s="46">
        <f t="shared" si="3"/>
        <v>1687.5800000000002</v>
      </c>
      <c r="CO32" s="48"/>
      <c r="CP32" s="140"/>
      <c r="CQ32" s="181"/>
      <c r="CR32" s="216">
        <f>136494.21*1.038-602.74</f>
        <v>141078.24998</v>
      </c>
      <c r="CS32" s="50"/>
      <c r="CT32" s="28"/>
      <c r="CU32" s="28"/>
      <c r="CV32" s="8">
        <f>6601.6*0.71+362.18</f>
        <v>5049.316000000001</v>
      </c>
      <c r="CW32" s="28"/>
      <c r="CX32" s="127"/>
      <c r="CY32" s="39"/>
      <c r="CZ32" s="215"/>
      <c r="DA32" s="39"/>
      <c r="DB32" s="39"/>
      <c r="DC32" s="39"/>
      <c r="DD32" s="36"/>
      <c r="DE32" s="181"/>
      <c r="DF32" s="181"/>
      <c r="DG32" s="173"/>
      <c r="DH32" s="173"/>
      <c r="DI32" s="217">
        <f t="shared" si="4"/>
        <v>1000816.6856500001</v>
      </c>
      <c r="DJ32" s="218">
        <f t="shared" si="4"/>
        <v>292525.83757999993</v>
      </c>
      <c r="DK32" s="183">
        <f t="shared" si="5"/>
        <v>1293342.52323</v>
      </c>
      <c r="DM32" s="195"/>
      <c r="DO32" s="195"/>
    </row>
    <row r="33" spans="1:119" ht="19.5" thickBot="1">
      <c r="A33" s="6">
        <v>27</v>
      </c>
      <c r="B33" s="6" t="s">
        <v>30</v>
      </c>
      <c r="C33" s="203">
        <f>322116.87*1.03</f>
        <v>331780.3761</v>
      </c>
      <c r="D33" s="7">
        <f>71672.2*1.03</f>
        <v>73822.366</v>
      </c>
      <c r="E33" s="7">
        <f>66462.89*1.035</f>
        <v>68789.09115</v>
      </c>
      <c r="F33" s="7">
        <f>14062.82*1.035</f>
        <v>14555.018699999999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153">
        <f t="shared" si="6"/>
        <v>0</v>
      </c>
      <c r="AB33" s="153">
        <f t="shared" si="6"/>
        <v>0</v>
      </c>
      <c r="AC33" s="153">
        <f t="shared" si="1"/>
        <v>0</v>
      </c>
      <c r="AD33" s="9"/>
      <c r="AE33" s="127">
        <v>-6248.5</v>
      </c>
      <c r="AF33" s="50"/>
      <c r="AG33" s="10">
        <v>410.88</v>
      </c>
      <c r="AH33" s="32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>
        <v>1307.65</v>
      </c>
      <c r="CH33" s="10"/>
      <c r="CI33" s="10"/>
      <c r="CJ33" s="28"/>
      <c r="CK33" s="181"/>
      <c r="CL33" s="46">
        <f t="shared" si="2"/>
        <v>0</v>
      </c>
      <c r="CM33" s="46">
        <f t="shared" si="2"/>
        <v>1718.5300000000002</v>
      </c>
      <c r="CN33" s="46">
        <f t="shared" si="3"/>
        <v>1718.5300000000002</v>
      </c>
      <c r="CO33" s="48"/>
      <c r="CP33" s="140"/>
      <c r="CQ33" s="181"/>
      <c r="CR33" s="216">
        <f>58126.62*1.038</f>
        <v>60335.431560000005</v>
      </c>
      <c r="CS33" s="140"/>
      <c r="CT33" s="28">
        <v>504.96</v>
      </c>
      <c r="CU33" s="28"/>
      <c r="CV33" s="8">
        <f>2129*0.71</f>
        <v>1511.59</v>
      </c>
      <c r="CW33" s="28"/>
      <c r="CX33" s="127"/>
      <c r="CY33" s="39"/>
      <c r="CZ33" s="215"/>
      <c r="DA33" s="39"/>
      <c r="DB33" s="39"/>
      <c r="DC33" s="39"/>
      <c r="DD33" s="36"/>
      <c r="DE33" s="181"/>
      <c r="DF33" s="181"/>
      <c r="DG33" s="173"/>
      <c r="DH33" s="173"/>
      <c r="DI33" s="217">
        <f t="shared" si="4"/>
        <v>400569.46725</v>
      </c>
      <c r="DJ33" s="218">
        <f t="shared" si="4"/>
        <v>146199.39625999998</v>
      </c>
      <c r="DK33" s="183">
        <f t="shared" si="5"/>
        <v>546768.8635099999</v>
      </c>
      <c r="DM33" s="195"/>
      <c r="DO33" s="195"/>
    </row>
    <row r="34" spans="1:119" ht="19.5" thickBot="1">
      <c r="A34" s="6">
        <v>28</v>
      </c>
      <c r="B34" s="6" t="s">
        <v>31</v>
      </c>
      <c r="C34" s="203">
        <f>135556.51*1.03</f>
        <v>139623.2053</v>
      </c>
      <c r="D34" s="7">
        <f>37571.4*1.03</f>
        <v>38698.542</v>
      </c>
      <c r="E34" s="7">
        <f>29822.43*1.035</f>
        <v>30866.21505</v>
      </c>
      <c r="F34" s="7">
        <f>8785.24*1.035</f>
        <v>9092.723399999999</v>
      </c>
      <c r="G34" s="8"/>
      <c r="H34" s="8"/>
      <c r="I34" s="8"/>
      <c r="J34" s="8"/>
      <c r="K34" s="8"/>
      <c r="L34" s="8"/>
      <c r="M34" s="8"/>
      <c r="N34" s="8"/>
      <c r="O34" s="8"/>
      <c r="P34" s="8">
        <f>860+180+260</f>
        <v>1300</v>
      </c>
      <c r="Q34" s="8"/>
      <c r="R34" s="8"/>
      <c r="S34" s="8"/>
      <c r="T34" s="8"/>
      <c r="U34" s="8"/>
      <c r="V34" s="8"/>
      <c r="W34" s="8"/>
      <c r="X34" s="8"/>
      <c r="Y34" s="8"/>
      <c r="Z34" s="9"/>
      <c r="AA34" s="153">
        <f t="shared" si="6"/>
        <v>0</v>
      </c>
      <c r="AB34" s="153">
        <f t="shared" si="6"/>
        <v>1300</v>
      </c>
      <c r="AC34" s="153">
        <f t="shared" si="1"/>
        <v>1300</v>
      </c>
      <c r="AD34" s="9"/>
      <c r="AE34" s="127"/>
      <c r="AF34" s="50"/>
      <c r="AG34" s="7">
        <v>101.47</v>
      </c>
      <c r="AH34" s="32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222"/>
      <c r="CD34" s="10"/>
      <c r="CE34" s="10"/>
      <c r="CF34" s="10"/>
      <c r="CG34" s="10">
        <v>1307.65</v>
      </c>
      <c r="CH34" s="10"/>
      <c r="CI34" s="10"/>
      <c r="CJ34" s="28"/>
      <c r="CK34" s="181"/>
      <c r="CL34" s="46">
        <f t="shared" si="2"/>
        <v>0</v>
      </c>
      <c r="CM34" s="46">
        <f t="shared" si="2"/>
        <v>1409.1200000000001</v>
      </c>
      <c r="CN34" s="46">
        <f t="shared" si="3"/>
        <v>1409.1200000000001</v>
      </c>
      <c r="CO34" s="48"/>
      <c r="CP34" s="50"/>
      <c r="CQ34" s="181"/>
      <c r="CR34" s="216">
        <f>112669.92*1.038</f>
        <v>116951.37696000001</v>
      </c>
      <c r="CS34" s="140"/>
      <c r="CT34" s="8"/>
      <c r="CU34" s="28"/>
      <c r="CV34" s="8">
        <f>272*0.71</f>
        <v>193.12</v>
      </c>
      <c r="CW34" s="28"/>
      <c r="CX34" s="127"/>
      <c r="CY34" s="39"/>
      <c r="CZ34" s="39"/>
      <c r="DA34" s="39"/>
      <c r="DB34" s="39"/>
      <c r="DC34" s="39"/>
      <c r="DD34" s="216"/>
      <c r="DE34" s="181"/>
      <c r="DF34" s="181"/>
      <c r="DG34" s="173"/>
      <c r="DH34" s="173"/>
      <c r="DI34" s="217">
        <f t="shared" si="4"/>
        <v>170489.42035</v>
      </c>
      <c r="DJ34" s="218">
        <f t="shared" si="4"/>
        <v>167644.88236000002</v>
      </c>
      <c r="DK34" s="183">
        <f t="shared" si="5"/>
        <v>338134.30271</v>
      </c>
      <c r="DM34" s="195"/>
      <c r="DO34" s="195"/>
    </row>
    <row r="35" spans="1:119" ht="19.5" thickBot="1">
      <c r="A35" s="6">
        <v>29</v>
      </c>
      <c r="B35" s="6" t="s">
        <v>76</v>
      </c>
      <c r="C35" s="203">
        <f>74571.41*1.03</f>
        <v>76808.55230000001</v>
      </c>
      <c r="D35" s="7">
        <f>91065.38*1.03</f>
        <v>93797.3414</v>
      </c>
      <c r="E35" s="7">
        <f>16487.19*1.035</f>
        <v>17064.241649999996</v>
      </c>
      <c r="F35" s="7">
        <f>23207.92*1.035</f>
        <v>24020.197199999995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153">
        <f t="shared" si="6"/>
        <v>0</v>
      </c>
      <c r="AB35" s="153">
        <f t="shared" si="6"/>
        <v>0</v>
      </c>
      <c r="AC35" s="153">
        <f t="shared" si="1"/>
        <v>0</v>
      </c>
      <c r="AD35" s="9"/>
      <c r="AE35" s="127"/>
      <c r="AF35" s="50"/>
      <c r="AG35" s="10">
        <v>145.33</v>
      </c>
      <c r="AH35" s="32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222"/>
      <c r="CD35" s="10"/>
      <c r="CE35" s="10"/>
      <c r="CF35" s="10"/>
      <c r="CG35" s="10">
        <v>1307.65</v>
      </c>
      <c r="CH35" s="10"/>
      <c r="CI35" s="10"/>
      <c r="CJ35" s="28"/>
      <c r="CK35" s="181"/>
      <c r="CL35" s="46">
        <f t="shared" si="2"/>
        <v>0</v>
      </c>
      <c r="CM35" s="46">
        <f t="shared" si="2"/>
        <v>1452.98</v>
      </c>
      <c r="CN35" s="46">
        <f t="shared" si="3"/>
        <v>1452.98</v>
      </c>
      <c r="CO35" s="48"/>
      <c r="CP35" s="50"/>
      <c r="CQ35" s="181"/>
      <c r="CR35" s="216">
        <v>0</v>
      </c>
      <c r="CS35" s="50"/>
      <c r="CT35" s="28"/>
      <c r="CU35" s="28"/>
      <c r="CV35" s="8">
        <f>7475.2*0.71</f>
        <v>5307.392</v>
      </c>
      <c r="CW35" s="28"/>
      <c r="CX35" s="127"/>
      <c r="CY35" s="39"/>
      <c r="CZ35" s="39"/>
      <c r="DA35" s="39"/>
      <c r="DB35" s="39"/>
      <c r="DC35" s="39"/>
      <c r="DD35" s="216"/>
      <c r="DE35" s="181"/>
      <c r="DF35" s="181"/>
      <c r="DG35" s="173"/>
      <c r="DH35" s="173"/>
      <c r="DI35" s="217">
        <f t="shared" si="4"/>
        <v>93872.79395</v>
      </c>
      <c r="DJ35" s="218">
        <f t="shared" si="4"/>
        <v>124577.9106</v>
      </c>
      <c r="DK35" s="183">
        <f t="shared" si="5"/>
        <v>218450.70455000002</v>
      </c>
      <c r="DM35" s="195"/>
      <c r="DO35" s="195"/>
    </row>
    <row r="36" spans="1:119" ht="19.5" thickBot="1">
      <c r="A36" s="6">
        <v>30</v>
      </c>
      <c r="B36" s="6" t="s">
        <v>74</v>
      </c>
      <c r="C36" s="203">
        <f>201341.45*1.03</f>
        <v>207381.69350000002</v>
      </c>
      <c r="D36" s="7">
        <f>40337.36*1.03</f>
        <v>41547.480800000005</v>
      </c>
      <c r="E36" s="7">
        <f>2715.02*1.035</f>
        <v>2810.0456999999997</v>
      </c>
      <c r="F36" s="7">
        <f>8901*1.035</f>
        <v>9212.535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153">
        <f t="shared" si="6"/>
        <v>0</v>
      </c>
      <c r="AB36" s="153">
        <f t="shared" si="6"/>
        <v>0</v>
      </c>
      <c r="AC36" s="153">
        <f t="shared" si="1"/>
        <v>0</v>
      </c>
      <c r="AD36" s="9"/>
      <c r="AE36" s="127"/>
      <c r="AF36" s="50"/>
      <c r="AG36" s="10">
        <v>714.77</v>
      </c>
      <c r="AH36" s="32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222"/>
      <c r="CD36" s="10"/>
      <c r="CE36" s="10"/>
      <c r="CF36" s="10"/>
      <c r="CG36" s="10">
        <v>1307.65</v>
      </c>
      <c r="CH36" s="10"/>
      <c r="CI36" s="10"/>
      <c r="CJ36" s="28"/>
      <c r="CK36" s="181"/>
      <c r="CL36" s="46">
        <f t="shared" si="2"/>
        <v>0</v>
      </c>
      <c r="CM36" s="46">
        <f t="shared" si="2"/>
        <v>2022.42</v>
      </c>
      <c r="CN36" s="46">
        <f t="shared" si="3"/>
        <v>2022.42</v>
      </c>
      <c r="CO36" s="48"/>
      <c r="CP36" s="140"/>
      <c r="CQ36" s="181"/>
      <c r="CR36" s="216">
        <f>57131.11*1.038</f>
        <v>59302.09218</v>
      </c>
      <c r="CS36" s="50"/>
      <c r="CT36" s="28"/>
      <c r="CU36" s="28"/>
      <c r="CV36" s="8">
        <f>2686*0.71</f>
        <v>1907.06</v>
      </c>
      <c r="CW36" s="28"/>
      <c r="CX36" s="127"/>
      <c r="CY36" s="39"/>
      <c r="CZ36" s="39"/>
      <c r="DA36" s="39"/>
      <c r="DB36" s="39"/>
      <c r="DC36" s="39"/>
      <c r="DD36" s="216"/>
      <c r="DE36" s="181"/>
      <c r="DF36" s="181"/>
      <c r="DG36" s="173"/>
      <c r="DH36" s="173"/>
      <c r="DI36" s="217">
        <f t="shared" si="4"/>
        <v>210191.7392</v>
      </c>
      <c r="DJ36" s="218">
        <f t="shared" si="4"/>
        <v>113991.58798000001</v>
      </c>
      <c r="DK36" s="183">
        <f t="shared" si="5"/>
        <v>324183.32718</v>
      </c>
      <c r="DM36" s="195"/>
      <c r="DO36" s="195"/>
    </row>
    <row r="37" spans="1:119" ht="19.5" thickBot="1">
      <c r="A37" s="6">
        <v>31</v>
      </c>
      <c r="B37" s="6" t="s">
        <v>32</v>
      </c>
      <c r="C37" s="203">
        <f>282638.14*1.03</f>
        <v>291117.2842</v>
      </c>
      <c r="D37" s="7">
        <f>82773.92*1.03</f>
        <v>85257.1376</v>
      </c>
      <c r="E37" s="7">
        <f>59700.12*1.035</f>
        <v>61789.6242</v>
      </c>
      <c r="F37" s="7">
        <f>20449.99*1.035</f>
        <v>21165.73965</v>
      </c>
      <c r="G37" s="8"/>
      <c r="H37" s="8"/>
      <c r="I37" s="8"/>
      <c r="J37" s="8"/>
      <c r="K37" s="8"/>
      <c r="L37" s="8"/>
      <c r="M37" s="8"/>
      <c r="N37" s="8"/>
      <c r="O37" s="8"/>
      <c r="P37" s="8">
        <f>2727+1660+1950+180+120+110+110+110+260</f>
        <v>7227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153">
        <f t="shared" si="6"/>
        <v>0</v>
      </c>
      <c r="AB37" s="153">
        <f t="shared" si="6"/>
        <v>7227</v>
      </c>
      <c r="AC37" s="153">
        <f t="shared" si="1"/>
        <v>7227</v>
      </c>
      <c r="AD37" s="9"/>
      <c r="AE37" s="127"/>
      <c r="AF37" s="50"/>
      <c r="AG37" s="10">
        <v>160.53</v>
      </c>
      <c r="AH37" s="32"/>
      <c r="AI37" s="10"/>
      <c r="AJ37" s="10"/>
      <c r="AK37" s="222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222"/>
      <c r="CD37" s="10"/>
      <c r="CE37" s="10"/>
      <c r="CF37" s="10"/>
      <c r="CG37" s="10">
        <v>1307.65</v>
      </c>
      <c r="CH37" s="10"/>
      <c r="CI37" s="10"/>
      <c r="CJ37" s="28"/>
      <c r="CK37" s="181"/>
      <c r="CL37" s="46">
        <f t="shared" si="2"/>
        <v>0</v>
      </c>
      <c r="CM37" s="46">
        <f t="shared" si="2"/>
        <v>1468.18</v>
      </c>
      <c r="CN37" s="46">
        <f t="shared" si="3"/>
        <v>1468.18</v>
      </c>
      <c r="CO37" s="48"/>
      <c r="CP37" s="50"/>
      <c r="CQ37" s="181"/>
      <c r="CR37" s="216">
        <f>119462.06*1.038</f>
        <v>124001.61828</v>
      </c>
      <c r="CS37" s="50"/>
      <c r="CT37" s="28">
        <v>138.43</v>
      </c>
      <c r="CU37" s="28"/>
      <c r="CV37" s="8">
        <f>2523*0.71</f>
        <v>1791.33</v>
      </c>
      <c r="CW37" s="28"/>
      <c r="CX37" s="127"/>
      <c r="CY37" s="39"/>
      <c r="CZ37" s="39"/>
      <c r="DA37" s="39"/>
      <c r="DB37" s="39"/>
      <c r="DC37" s="39"/>
      <c r="DD37" s="36"/>
      <c r="DE37" s="181"/>
      <c r="DF37" s="181"/>
      <c r="DG37" s="173"/>
      <c r="DH37" s="173"/>
      <c r="DI37" s="217">
        <f t="shared" si="4"/>
        <v>352906.9084</v>
      </c>
      <c r="DJ37" s="218">
        <f t="shared" si="4"/>
        <v>241049.43553</v>
      </c>
      <c r="DK37" s="183">
        <f t="shared" si="5"/>
        <v>593956.34393</v>
      </c>
      <c r="DM37" s="195"/>
      <c r="DO37" s="195"/>
    </row>
    <row r="38" spans="1:119" ht="19.5" thickBot="1">
      <c r="A38" s="4">
        <v>32</v>
      </c>
      <c r="B38" s="4" t="s">
        <v>33</v>
      </c>
      <c r="C38" s="199">
        <f>186435.96*1.03</f>
        <v>192029.0388</v>
      </c>
      <c r="D38" s="11">
        <f>50800.74*1.03</f>
        <v>52324.7622</v>
      </c>
      <c r="E38" s="11">
        <f>40351.45*1.035</f>
        <v>41763.75074999999</v>
      </c>
      <c r="F38" s="11">
        <f>11176.16*1.035</f>
        <v>11567.325599999998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53">
        <f t="shared" si="6"/>
        <v>0</v>
      </c>
      <c r="AB38" s="153">
        <f t="shared" si="6"/>
        <v>0</v>
      </c>
      <c r="AC38" s="247">
        <f t="shared" si="1"/>
        <v>0</v>
      </c>
      <c r="AD38" s="13"/>
      <c r="AE38" s="142">
        <v>-5309.5</v>
      </c>
      <c r="AF38" s="237"/>
      <c r="AG38" s="11">
        <v>103.87</v>
      </c>
      <c r="AH38" s="33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223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223"/>
      <c r="CD38" s="11"/>
      <c r="CE38" s="11"/>
      <c r="CF38" s="11"/>
      <c r="CG38" s="10">
        <v>1307.65</v>
      </c>
      <c r="CH38" s="11"/>
      <c r="CI38" s="11"/>
      <c r="CJ38" s="12"/>
      <c r="CK38" s="182"/>
      <c r="CL38" s="46">
        <f t="shared" si="2"/>
        <v>0</v>
      </c>
      <c r="CM38" s="46">
        <f t="shared" si="2"/>
        <v>1411.52</v>
      </c>
      <c r="CN38" s="46">
        <f t="shared" si="3"/>
        <v>1411.52</v>
      </c>
      <c r="CO38" s="253"/>
      <c r="CP38" s="51"/>
      <c r="CQ38" s="182"/>
      <c r="CR38" s="37">
        <v>0</v>
      </c>
      <c r="CS38" s="51"/>
      <c r="CT38" s="12">
        <v>276.86</v>
      </c>
      <c r="CU38" s="12"/>
      <c r="CV38" s="12">
        <f>26190.12*0.71</f>
        <v>18594.9852</v>
      </c>
      <c r="CW38" s="12"/>
      <c r="CX38" s="142"/>
      <c r="CY38" s="40"/>
      <c r="CZ38" s="40"/>
      <c r="DA38" s="40"/>
      <c r="DB38" s="40"/>
      <c r="DC38" s="40"/>
      <c r="DD38" s="37"/>
      <c r="DE38" s="182"/>
      <c r="DF38" s="182"/>
      <c r="DG38" s="256"/>
      <c r="DH38" s="256"/>
      <c r="DI38" s="217">
        <f t="shared" si="4"/>
        <v>233792.78955</v>
      </c>
      <c r="DJ38" s="218">
        <f t="shared" si="4"/>
        <v>78865.953</v>
      </c>
      <c r="DK38" s="183">
        <f t="shared" si="5"/>
        <v>312658.74254999997</v>
      </c>
      <c r="DM38" s="195"/>
      <c r="DO38" s="195"/>
    </row>
    <row r="39" spans="1:115" s="1" customFormat="1" ht="19.5" thickBot="1">
      <c r="A39" s="249">
        <v>33</v>
      </c>
      <c r="B39" s="58" t="s">
        <v>54</v>
      </c>
      <c r="C39" s="61">
        <f aca="true" t="shared" si="7" ref="C39:BN39">SUM(C7:C38)</f>
        <v>9306599.3299</v>
      </c>
      <c r="D39" s="59">
        <f t="shared" si="7"/>
        <v>2545865.2319</v>
      </c>
      <c r="E39" s="59">
        <f t="shared" si="7"/>
        <v>2016522.0140000002</v>
      </c>
      <c r="F39" s="59">
        <f t="shared" si="7"/>
        <v>586765.83285</v>
      </c>
      <c r="G39" s="59">
        <f t="shared" si="7"/>
        <v>0</v>
      </c>
      <c r="H39" s="59">
        <f t="shared" si="7"/>
        <v>0</v>
      </c>
      <c r="I39" s="59">
        <f t="shared" si="7"/>
        <v>0</v>
      </c>
      <c r="J39" s="59">
        <f t="shared" si="7"/>
        <v>0</v>
      </c>
      <c r="K39" s="59">
        <f t="shared" si="7"/>
        <v>0</v>
      </c>
      <c r="L39" s="59">
        <f t="shared" si="7"/>
        <v>0</v>
      </c>
      <c r="M39" s="59">
        <f t="shared" si="7"/>
        <v>0</v>
      </c>
      <c r="N39" s="59">
        <f t="shared" si="7"/>
        <v>0</v>
      </c>
      <c r="O39" s="59">
        <f t="shared" si="7"/>
        <v>0</v>
      </c>
      <c r="P39" s="59">
        <f t="shared" si="7"/>
        <v>87267</v>
      </c>
      <c r="Q39" s="59">
        <f t="shared" si="7"/>
        <v>0</v>
      </c>
      <c r="R39" s="59">
        <f t="shared" si="7"/>
        <v>0</v>
      </c>
      <c r="S39" s="59">
        <f t="shared" si="7"/>
        <v>0</v>
      </c>
      <c r="T39" s="59">
        <f t="shared" si="7"/>
        <v>0</v>
      </c>
      <c r="U39" s="59">
        <f t="shared" si="7"/>
        <v>0</v>
      </c>
      <c r="V39" s="59">
        <f t="shared" si="7"/>
        <v>66082.8</v>
      </c>
      <c r="W39" s="59">
        <f t="shared" si="7"/>
        <v>0</v>
      </c>
      <c r="X39" s="59">
        <f t="shared" si="7"/>
        <v>0</v>
      </c>
      <c r="Y39" s="59">
        <f t="shared" si="7"/>
        <v>0</v>
      </c>
      <c r="Z39" s="59">
        <f t="shared" si="7"/>
        <v>0</v>
      </c>
      <c r="AA39" s="59">
        <f t="shared" si="7"/>
        <v>0</v>
      </c>
      <c r="AB39" s="59">
        <f t="shared" si="7"/>
        <v>153349.8</v>
      </c>
      <c r="AC39" s="60">
        <f t="shared" si="7"/>
        <v>153349.8</v>
      </c>
      <c r="AD39" s="60">
        <f t="shared" si="7"/>
        <v>0</v>
      </c>
      <c r="AE39" s="62">
        <f t="shared" si="7"/>
        <v>-80671.20000000001</v>
      </c>
      <c r="AF39" s="62">
        <f t="shared" si="7"/>
        <v>0</v>
      </c>
      <c r="AG39" s="59">
        <f t="shared" si="7"/>
        <v>12078.570000000002</v>
      </c>
      <c r="AH39" s="59">
        <f t="shared" si="7"/>
        <v>0</v>
      </c>
      <c r="AI39" s="59">
        <f t="shared" si="7"/>
        <v>48798</v>
      </c>
      <c r="AJ39" s="59">
        <f t="shared" si="7"/>
        <v>0</v>
      </c>
      <c r="AK39" s="261">
        <f t="shared" si="7"/>
        <v>3303</v>
      </c>
      <c r="AL39" s="59">
        <f t="shared" si="7"/>
        <v>0</v>
      </c>
      <c r="AM39" s="59">
        <f t="shared" si="7"/>
        <v>0</v>
      </c>
      <c r="AN39" s="59">
        <f t="shared" si="7"/>
        <v>0</v>
      </c>
      <c r="AO39" s="59">
        <f t="shared" si="7"/>
        <v>0</v>
      </c>
      <c r="AP39" s="59">
        <f t="shared" si="7"/>
        <v>0</v>
      </c>
      <c r="AQ39" s="59">
        <f t="shared" si="7"/>
        <v>106932.56</v>
      </c>
      <c r="AR39" s="59">
        <f t="shared" si="7"/>
        <v>0</v>
      </c>
      <c r="AS39" s="59">
        <f t="shared" si="7"/>
        <v>0</v>
      </c>
      <c r="AT39" s="59">
        <f t="shared" si="7"/>
        <v>0</v>
      </c>
      <c r="AU39" s="59">
        <f t="shared" si="7"/>
        <v>0</v>
      </c>
      <c r="AV39" s="59">
        <f t="shared" si="7"/>
        <v>0</v>
      </c>
      <c r="AW39" s="59">
        <f t="shared" si="7"/>
        <v>0</v>
      </c>
      <c r="AX39" s="59">
        <f t="shared" si="7"/>
        <v>0</v>
      </c>
      <c r="AY39" s="261">
        <f t="shared" si="7"/>
        <v>0</v>
      </c>
      <c r="AZ39" s="59">
        <f t="shared" si="7"/>
        <v>0</v>
      </c>
      <c r="BA39" s="59">
        <f t="shared" si="7"/>
        <v>0</v>
      </c>
      <c r="BB39" s="59">
        <f t="shared" si="7"/>
        <v>0</v>
      </c>
      <c r="BC39" s="59">
        <f t="shared" si="7"/>
        <v>0</v>
      </c>
      <c r="BD39" s="59">
        <f t="shared" si="7"/>
        <v>0</v>
      </c>
      <c r="BE39" s="59">
        <f t="shared" si="7"/>
        <v>0</v>
      </c>
      <c r="BF39" s="59">
        <f t="shared" si="7"/>
        <v>0</v>
      </c>
      <c r="BG39" s="59">
        <f t="shared" si="7"/>
        <v>0</v>
      </c>
      <c r="BH39" s="59">
        <f t="shared" si="7"/>
        <v>0</v>
      </c>
      <c r="BI39" s="59">
        <f t="shared" si="7"/>
        <v>0</v>
      </c>
      <c r="BJ39" s="59">
        <f t="shared" si="7"/>
        <v>0</v>
      </c>
      <c r="BK39" s="59">
        <f t="shared" si="7"/>
        <v>0</v>
      </c>
      <c r="BL39" s="59">
        <f t="shared" si="7"/>
        <v>0</v>
      </c>
      <c r="BM39" s="59">
        <f t="shared" si="7"/>
        <v>0</v>
      </c>
      <c r="BN39" s="59">
        <f t="shared" si="7"/>
        <v>0</v>
      </c>
      <c r="BO39" s="59">
        <f aca="true" t="shared" si="8" ref="BO39:DK39">SUM(BO7:BO38)</f>
        <v>0</v>
      </c>
      <c r="BP39" s="59">
        <f t="shared" si="8"/>
        <v>0</v>
      </c>
      <c r="BQ39" s="59">
        <f t="shared" si="8"/>
        <v>0</v>
      </c>
      <c r="BR39" s="59">
        <f t="shared" si="8"/>
        <v>0</v>
      </c>
      <c r="BS39" s="59">
        <f t="shared" si="8"/>
        <v>0</v>
      </c>
      <c r="BT39" s="59">
        <f t="shared" si="8"/>
        <v>0</v>
      </c>
      <c r="BU39" s="59">
        <f t="shared" si="8"/>
        <v>0</v>
      </c>
      <c r="BV39" s="59">
        <f t="shared" si="8"/>
        <v>0</v>
      </c>
      <c r="BW39" s="59">
        <f t="shared" si="8"/>
        <v>0</v>
      </c>
      <c r="BX39" s="59">
        <f t="shared" si="8"/>
        <v>0</v>
      </c>
      <c r="BY39" s="59">
        <f t="shared" si="8"/>
        <v>0</v>
      </c>
      <c r="BZ39" s="59">
        <f t="shared" si="8"/>
        <v>0</v>
      </c>
      <c r="CA39" s="59">
        <f t="shared" si="8"/>
        <v>0</v>
      </c>
      <c r="CB39" s="59">
        <f t="shared" si="8"/>
        <v>0</v>
      </c>
      <c r="CC39" s="59">
        <f t="shared" si="8"/>
        <v>5030</v>
      </c>
      <c r="CD39" s="59">
        <f t="shared" si="8"/>
        <v>0</v>
      </c>
      <c r="CE39" s="59">
        <f t="shared" si="8"/>
        <v>5526.2</v>
      </c>
      <c r="CF39" s="59">
        <f t="shared" si="8"/>
        <v>0</v>
      </c>
      <c r="CG39" s="59">
        <f t="shared" si="8"/>
        <v>35306.55000000002</v>
      </c>
      <c r="CH39" s="59">
        <f t="shared" si="8"/>
        <v>0</v>
      </c>
      <c r="CI39" s="59">
        <f t="shared" si="8"/>
        <v>0</v>
      </c>
      <c r="CJ39" s="59">
        <f t="shared" si="8"/>
        <v>0</v>
      </c>
      <c r="CK39" s="55">
        <f t="shared" si="8"/>
        <v>16.28</v>
      </c>
      <c r="CL39" s="45">
        <f t="shared" si="8"/>
        <v>0</v>
      </c>
      <c r="CM39" s="45">
        <f t="shared" si="8"/>
        <v>216991.15999999995</v>
      </c>
      <c r="CN39" s="45">
        <f t="shared" si="8"/>
        <v>216991.15999999995</v>
      </c>
      <c r="CO39" s="184">
        <f t="shared" si="8"/>
        <v>0</v>
      </c>
      <c r="CP39" s="238">
        <f t="shared" si="8"/>
        <v>0</v>
      </c>
      <c r="CQ39" s="55">
        <f t="shared" si="8"/>
        <v>0</v>
      </c>
      <c r="CR39" s="45">
        <f t="shared" si="8"/>
        <v>3040864.8405800005</v>
      </c>
      <c r="CS39" s="238">
        <f t="shared" si="8"/>
        <v>0</v>
      </c>
      <c r="CT39" s="60">
        <f t="shared" si="8"/>
        <v>14713.499999999998</v>
      </c>
      <c r="CU39" s="60">
        <f t="shared" si="8"/>
        <v>0</v>
      </c>
      <c r="CV39" s="60">
        <f t="shared" si="8"/>
        <v>134383.6473</v>
      </c>
      <c r="CW39" s="60">
        <f t="shared" si="8"/>
        <v>0</v>
      </c>
      <c r="CX39" s="62">
        <f t="shared" si="8"/>
        <v>-986.64</v>
      </c>
      <c r="CY39" s="62">
        <f t="shared" si="8"/>
        <v>0</v>
      </c>
      <c r="CZ39" s="62">
        <f t="shared" si="8"/>
        <v>0</v>
      </c>
      <c r="DA39" s="62">
        <f>SUM(DA7:DA38)</f>
        <v>0</v>
      </c>
      <c r="DB39" s="62">
        <f t="shared" si="8"/>
        <v>0</v>
      </c>
      <c r="DC39" s="62">
        <f t="shared" si="8"/>
        <v>0</v>
      </c>
      <c r="DD39" s="45">
        <f t="shared" si="8"/>
        <v>0</v>
      </c>
      <c r="DE39" s="55">
        <f t="shared" si="8"/>
        <v>0</v>
      </c>
      <c r="DF39" s="55">
        <f t="shared" si="8"/>
        <v>0</v>
      </c>
      <c r="DG39" s="55">
        <f t="shared" si="8"/>
        <v>0</v>
      </c>
      <c r="DH39" s="55">
        <f t="shared" si="8"/>
        <v>0</v>
      </c>
      <c r="DI39" s="55">
        <f>SUM(DI7:DI38)</f>
        <v>11323121.343900003</v>
      </c>
      <c r="DJ39" s="45">
        <f t="shared" si="8"/>
        <v>6611276.17263</v>
      </c>
      <c r="DK39" s="238">
        <f t="shared" si="8"/>
        <v>17934397.51653</v>
      </c>
    </row>
    <row r="40" spans="1:115" ht="19.5" thickBot="1">
      <c r="A40" s="161">
        <v>34</v>
      </c>
      <c r="B40" s="162" t="s">
        <v>55</v>
      </c>
      <c r="C40" s="162"/>
      <c r="D40" s="162"/>
      <c r="E40" s="162"/>
      <c r="F40" s="197"/>
      <c r="G40" s="197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3"/>
      <c r="AA40" s="245">
        <f>C40+E40+G40+I40+K40+M40+O40+Q40+S40+U40+W40+Y40</f>
        <v>0</v>
      </c>
      <c r="AB40" s="245">
        <f>D40+F40+H40+J40+L40+N40+P40+R40+T40+V40+X40+Z40</f>
        <v>0</v>
      </c>
      <c r="AC40" s="245">
        <f>AA40+AB40</f>
        <v>0</v>
      </c>
      <c r="AD40" s="164"/>
      <c r="AE40" s="165"/>
      <c r="AF40" s="239"/>
      <c r="AG40" s="248"/>
      <c r="AH40" s="171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7"/>
      <c r="CK40" s="169"/>
      <c r="CL40" s="166">
        <f>AF40+AH40+AJ40+AL40+AN40+AP40+AR40+AT40+AV40+AX40+AZ40+BB40+BD40+BF40+BH40+BJ40+BL40+BN40+BP40+BR40+BT40+BV40+BX40+BZ40+CB40+CD40+CF40+CH40+CJ40</f>
        <v>0</v>
      </c>
      <c r="CM40" s="170">
        <f>AG40+AI40+AK40+AM40+AO40+AQ40+AS40+AU40+AW40+AY40+BA40+BC40+BE40+BG40+BI40+BK40+BM40+BO40+BQ40+BS40+BU40+BW40+BY40+CA40+CC40+CE40+CG40+CI40+CK40</f>
        <v>0</v>
      </c>
      <c r="CN40" s="166">
        <f t="shared" si="3"/>
        <v>0</v>
      </c>
      <c r="CO40" s="168"/>
      <c r="CP40" s="170"/>
      <c r="CQ40" s="257"/>
      <c r="CR40" s="166"/>
      <c r="CS40" s="170"/>
      <c r="CT40" s="167"/>
      <c r="CU40" s="167"/>
      <c r="CV40" s="167"/>
      <c r="CW40" s="167"/>
      <c r="CX40" s="165"/>
      <c r="CY40" s="168"/>
      <c r="CZ40" s="168"/>
      <c r="DA40" s="168"/>
      <c r="DB40" s="168"/>
      <c r="DC40" s="168"/>
      <c r="DD40" s="166"/>
      <c r="DE40" s="169"/>
      <c r="DF40" s="169"/>
      <c r="DG40" s="169"/>
      <c r="DH40" s="169"/>
      <c r="DI40" s="166">
        <f>C40+E40+AA40+AD40+CL40+CO40+CQ40+CS40+CU40+CW40+CY40+DA40+DC40+DE40+DG40</f>
        <v>0</v>
      </c>
      <c r="DJ40" s="166">
        <f>D40+F40+AB40+AE40+CM40+CP40+CR40+CT40+CV40+CX40+CZ40+DB40+DD40+DF40+DH40</f>
        <v>0</v>
      </c>
      <c r="DK40" s="185">
        <f>DI40+DJ40</f>
        <v>0</v>
      </c>
    </row>
    <row r="41" spans="1:115" ht="19.5" hidden="1" thickBot="1">
      <c r="A41" s="56">
        <v>42</v>
      </c>
      <c r="B41" s="56" t="s">
        <v>56</v>
      </c>
      <c r="C41" s="228"/>
      <c r="D41" s="198">
        <f>D42+D43</f>
        <v>0</v>
      </c>
      <c r="E41" s="198"/>
      <c r="F41" s="198">
        <f>F42+F43</f>
        <v>0</v>
      </c>
      <c r="G41" s="198"/>
      <c r="H41" s="67">
        <f>H42+H43</f>
        <v>0</v>
      </c>
      <c r="I41" s="67"/>
      <c r="J41" s="67">
        <f>J42+J43</f>
        <v>0</v>
      </c>
      <c r="K41" s="67"/>
      <c r="L41" s="67">
        <f>L42+L43</f>
        <v>0</v>
      </c>
      <c r="M41" s="67"/>
      <c r="N41" s="67">
        <f>N42+N43</f>
        <v>0</v>
      </c>
      <c r="O41" s="67"/>
      <c r="P41" s="67">
        <f>P42+P43</f>
        <v>0</v>
      </c>
      <c r="Q41" s="67"/>
      <c r="R41" s="67">
        <f>R42+R43</f>
        <v>0</v>
      </c>
      <c r="S41" s="67"/>
      <c r="T41" s="67">
        <f>T42+T43</f>
        <v>0</v>
      </c>
      <c r="U41" s="67"/>
      <c r="V41" s="67">
        <f>V42+V43</f>
        <v>0</v>
      </c>
      <c r="W41" s="67"/>
      <c r="X41" s="67">
        <f>X42+X43</f>
        <v>0</v>
      </c>
      <c r="Y41" s="67"/>
      <c r="Z41" s="67">
        <f>Z42+Z43</f>
        <v>0</v>
      </c>
      <c r="AA41" s="68"/>
      <c r="AB41" s="68"/>
      <c r="AC41" s="68">
        <f>AC42+AC43</f>
        <v>0</v>
      </c>
      <c r="AD41" s="68"/>
      <c r="AE41" s="69">
        <f>AE42+AE43</f>
        <v>0</v>
      </c>
      <c r="AF41" s="209"/>
      <c r="AG41" s="246">
        <f>AG42+AG43</f>
        <v>0</v>
      </c>
      <c r="AH41" s="228"/>
      <c r="AI41" s="67">
        <f>AI42+AI43</f>
        <v>0</v>
      </c>
      <c r="AJ41" s="67"/>
      <c r="AK41" s="67">
        <f>AK42+AK43</f>
        <v>0</v>
      </c>
      <c r="AL41" s="67"/>
      <c r="AM41" s="67">
        <f>AM42+AM43</f>
        <v>0</v>
      </c>
      <c r="AN41" s="67"/>
      <c r="AO41" s="67">
        <f>AO42+AO43</f>
        <v>0</v>
      </c>
      <c r="AP41" s="67"/>
      <c r="AQ41" s="67">
        <f>AQ42+AQ43</f>
        <v>0</v>
      </c>
      <c r="AR41" s="67"/>
      <c r="AS41" s="67">
        <f>AS42+AS43</f>
        <v>0</v>
      </c>
      <c r="AT41" s="67"/>
      <c r="AU41" s="67">
        <f>AU42+AU43</f>
        <v>0</v>
      </c>
      <c r="AV41" s="67"/>
      <c r="AW41" s="67">
        <f>AW42+AW43</f>
        <v>0</v>
      </c>
      <c r="AX41" s="67"/>
      <c r="AY41" s="67">
        <f>AY42+AY43</f>
        <v>0</v>
      </c>
      <c r="AZ41" s="67"/>
      <c r="BA41" s="67">
        <f>BA42+BA43</f>
        <v>0</v>
      </c>
      <c r="BB41" s="67"/>
      <c r="BC41" s="67">
        <f>BC42+BC43</f>
        <v>0</v>
      </c>
      <c r="BD41" s="67"/>
      <c r="BE41" s="67">
        <f>BE42+BE43</f>
        <v>0</v>
      </c>
      <c r="BF41" s="67"/>
      <c r="BG41" s="67">
        <f>BG42+BG43</f>
        <v>0</v>
      </c>
      <c r="BH41" s="67"/>
      <c r="BI41" s="67">
        <f>BI42+BI43</f>
        <v>0</v>
      </c>
      <c r="BJ41" s="67"/>
      <c r="BK41" s="67">
        <f>BK42+BK43</f>
        <v>0</v>
      </c>
      <c r="BL41" s="67"/>
      <c r="BM41" s="67">
        <f>BM42+BM43</f>
        <v>0</v>
      </c>
      <c r="BN41" s="67"/>
      <c r="BO41" s="67">
        <f>BO42+BO43</f>
        <v>0</v>
      </c>
      <c r="BP41" s="67"/>
      <c r="BQ41" s="67">
        <f>BQ42+BQ43</f>
        <v>0</v>
      </c>
      <c r="BR41" s="67"/>
      <c r="BS41" s="67">
        <f>BS42+BS43</f>
        <v>0</v>
      </c>
      <c r="BT41" s="67"/>
      <c r="BU41" s="67">
        <f>BU42+BU43</f>
        <v>0</v>
      </c>
      <c r="BV41" s="67"/>
      <c r="BW41" s="67">
        <f>BW42+BW43</f>
        <v>0</v>
      </c>
      <c r="BX41" s="67"/>
      <c r="BY41" s="67">
        <f>BY42+BY43</f>
        <v>0</v>
      </c>
      <c r="BZ41" s="67"/>
      <c r="CA41" s="67">
        <f>CA42+CA43</f>
        <v>0</v>
      </c>
      <c r="CB41" s="67"/>
      <c r="CC41" s="67">
        <f>CC42+CC43</f>
        <v>0</v>
      </c>
      <c r="CD41" s="67"/>
      <c r="CE41" s="67">
        <f>CE42+CE43</f>
        <v>0</v>
      </c>
      <c r="CF41" s="67"/>
      <c r="CG41" s="67">
        <f>CG42+CG43</f>
        <v>0</v>
      </c>
      <c r="CH41" s="67"/>
      <c r="CI41" s="67">
        <f>CI42+CI43</f>
        <v>0</v>
      </c>
      <c r="CJ41" s="68"/>
      <c r="CK41" s="56">
        <f>CK42+CK43</f>
        <v>0</v>
      </c>
      <c r="CL41" s="47"/>
      <c r="CM41" s="228"/>
      <c r="CN41" s="47">
        <f>CN42+CN43</f>
        <v>0</v>
      </c>
      <c r="CO41" s="209"/>
      <c r="CP41" s="228">
        <f>CP42+CP43</f>
        <v>0</v>
      </c>
      <c r="CQ41" s="47"/>
      <c r="CR41" s="47"/>
      <c r="CS41" s="228"/>
      <c r="CT41" s="68">
        <f>CT42+CT43</f>
        <v>0</v>
      </c>
      <c r="CU41" s="68"/>
      <c r="CV41" s="68">
        <f>CV42+CV43</f>
        <v>0</v>
      </c>
      <c r="CW41" s="68"/>
      <c r="CX41" s="69">
        <f>CX42+CX43</f>
        <v>0</v>
      </c>
      <c r="CY41" s="209"/>
      <c r="CZ41" s="209"/>
      <c r="DA41" s="209"/>
      <c r="DB41" s="209"/>
      <c r="DC41" s="209"/>
      <c r="DD41" s="47">
        <f>DD42+DD43</f>
        <v>0</v>
      </c>
      <c r="DE41" s="56"/>
      <c r="DF41" s="56">
        <f>DF42+DF43</f>
        <v>0</v>
      </c>
      <c r="DG41" s="56"/>
      <c r="DH41" s="56">
        <f>DH42+DH43</f>
        <v>0</v>
      </c>
      <c r="DI41" s="47"/>
      <c r="DJ41" s="47"/>
      <c r="DK41" s="194" t="e">
        <f>DK42+DK43</f>
        <v>#REF!</v>
      </c>
    </row>
    <row r="42" spans="1:119" ht="19.5" hidden="1" thickBot="1">
      <c r="A42" s="63">
        <v>43</v>
      </c>
      <c r="B42" s="63" t="s">
        <v>34</v>
      </c>
      <c r="C42" s="63"/>
      <c r="D42" s="151"/>
      <c r="E42" s="151"/>
      <c r="F42" s="151"/>
      <c r="G42" s="151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18"/>
      <c r="AB42" s="118"/>
      <c r="AC42" s="118">
        <f>SUM(H42:Z42)</f>
        <v>0</v>
      </c>
      <c r="AD42" s="118"/>
      <c r="AE42" s="128"/>
      <c r="AF42" s="52"/>
      <c r="AG42" s="66"/>
      <c r="AH42" s="66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5"/>
      <c r="CK42" s="173"/>
      <c r="CL42" s="46"/>
      <c r="CM42" s="52"/>
      <c r="CN42" s="46">
        <f>SUM(AG42:CK42)</f>
        <v>0</v>
      </c>
      <c r="CO42" s="48"/>
      <c r="CP42" s="52"/>
      <c r="CQ42" s="46"/>
      <c r="CR42" s="46"/>
      <c r="CS42" s="52"/>
      <c r="CT42" s="65"/>
      <c r="CU42" s="65"/>
      <c r="CV42" s="65"/>
      <c r="CW42" s="65"/>
      <c r="CX42" s="128"/>
      <c r="CY42" s="48"/>
      <c r="CZ42" s="48"/>
      <c r="DA42" s="48"/>
      <c r="DB42" s="48"/>
      <c r="DC42" s="48"/>
      <c r="DD42" s="46"/>
      <c r="DE42" s="173"/>
      <c r="DF42" s="173"/>
      <c r="DG42" s="173"/>
      <c r="DH42" s="173"/>
      <c r="DI42" s="46"/>
      <c r="DJ42" s="46"/>
      <c r="DK42" s="183" t="e">
        <f>D42+F42+AC42+AE42+CN42+CP42+CR42+CT42+CV42+#REF!+CX42+DD42+DF42</f>
        <v>#REF!</v>
      </c>
      <c r="DL42" s="3"/>
      <c r="DM42" s="3"/>
      <c r="DN42" s="3"/>
      <c r="DO42" s="3"/>
    </row>
    <row r="43" spans="1:115" ht="19.5" hidden="1" thickBot="1">
      <c r="A43" s="4">
        <v>44</v>
      </c>
      <c r="B43" s="4" t="s">
        <v>5</v>
      </c>
      <c r="C43" s="4"/>
      <c r="D43" s="199"/>
      <c r="E43" s="199"/>
      <c r="F43" s="199"/>
      <c r="G43" s="19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2"/>
      <c r="AA43" s="230"/>
      <c r="AB43" s="230"/>
      <c r="AC43" s="118">
        <f>SUM(H43:Z43)</f>
        <v>0</v>
      </c>
      <c r="AD43" s="236"/>
      <c r="AE43" s="129"/>
      <c r="AF43" s="27"/>
      <c r="AG43" s="126"/>
      <c r="AH43" s="126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70"/>
      <c r="CK43" s="251"/>
      <c r="CL43" s="252"/>
      <c r="CM43" s="250"/>
      <c r="CN43" s="46">
        <f>SUM(AG43:CK43)</f>
        <v>0</v>
      </c>
      <c r="CO43" s="253"/>
      <c r="CP43" s="237"/>
      <c r="CQ43" s="71"/>
      <c r="CR43" s="157"/>
      <c r="CS43" s="27"/>
      <c r="CT43" s="26"/>
      <c r="CU43" s="26"/>
      <c r="CV43" s="26"/>
      <c r="CW43" s="26"/>
      <c r="CX43" s="129"/>
      <c r="CY43" s="72"/>
      <c r="CZ43" s="72"/>
      <c r="DA43" s="72"/>
      <c r="DB43" s="72"/>
      <c r="DC43" s="72"/>
      <c r="DD43" s="157"/>
      <c r="DE43" s="178"/>
      <c r="DF43" s="178"/>
      <c r="DG43" s="235"/>
      <c r="DH43" s="235"/>
      <c r="DI43" s="208"/>
      <c r="DJ43" s="208"/>
      <c r="DK43" s="186" t="e">
        <f>D43+F43+AC43+AE43+CN43+CP43+CR43+CT43+CV43+#REF!+CX43+DD43+DF43</f>
        <v>#REF!</v>
      </c>
    </row>
    <row r="44" spans="1:115" ht="38.25" hidden="1" thickBot="1">
      <c r="A44" s="76">
        <v>45</v>
      </c>
      <c r="B44" s="77" t="s">
        <v>72</v>
      </c>
      <c r="C44" s="77"/>
      <c r="D44" s="200"/>
      <c r="E44" s="200"/>
      <c r="F44" s="200"/>
      <c r="G44" s="200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7"/>
      <c r="AA44" s="119"/>
      <c r="AB44" s="119"/>
      <c r="AC44" s="119">
        <f>SUM(H44:Z44)</f>
        <v>0</v>
      </c>
      <c r="AD44" s="119"/>
      <c r="AE44" s="130"/>
      <c r="AF44" s="82"/>
      <c r="AG44" s="80"/>
      <c r="AH44" s="81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9"/>
      <c r="CK44" s="174"/>
      <c r="CL44" s="80"/>
      <c r="CM44" s="81"/>
      <c r="CN44" s="80">
        <f>SUM(AG44:CK44)</f>
        <v>0</v>
      </c>
      <c r="CO44" s="82"/>
      <c r="CP44" s="81"/>
      <c r="CQ44" s="80"/>
      <c r="CR44" s="80"/>
      <c r="CS44" s="81"/>
      <c r="CT44" s="79"/>
      <c r="CU44" s="79"/>
      <c r="CV44" s="79"/>
      <c r="CW44" s="79"/>
      <c r="CX44" s="130"/>
      <c r="CY44" s="82"/>
      <c r="CZ44" s="82"/>
      <c r="DA44" s="82"/>
      <c r="DB44" s="82"/>
      <c r="DC44" s="82"/>
      <c r="DD44" s="80"/>
      <c r="DE44" s="174"/>
      <c r="DF44" s="174"/>
      <c r="DG44" s="174"/>
      <c r="DH44" s="174"/>
      <c r="DI44" s="80"/>
      <c r="DJ44" s="80"/>
      <c r="DK44" s="187" t="e">
        <f>D44+F44+AC44+AE44+CN44+CP44+CR44+CT44+CV44+#REF!+CX44+DD44+DF44+DH44</f>
        <v>#REF!</v>
      </c>
    </row>
    <row r="45" spans="1:115" s="25" customFormat="1" ht="19.5" hidden="1" thickBot="1">
      <c r="A45" s="143">
        <v>46</v>
      </c>
      <c r="B45" s="144">
        <v>611161</v>
      </c>
      <c r="C45" s="144"/>
      <c r="D45" s="204">
        <f aca="true" t="shared" si="9" ref="D45:BE45">D46+D47+D48</f>
        <v>0</v>
      </c>
      <c r="E45" s="204"/>
      <c r="F45" s="204">
        <f t="shared" si="9"/>
        <v>0</v>
      </c>
      <c r="G45" s="204"/>
      <c r="H45" s="145">
        <f t="shared" si="9"/>
        <v>0</v>
      </c>
      <c r="I45" s="145"/>
      <c r="J45" s="145">
        <f t="shared" si="9"/>
        <v>0</v>
      </c>
      <c r="K45" s="145"/>
      <c r="L45" s="145">
        <f t="shared" si="9"/>
        <v>0</v>
      </c>
      <c r="M45" s="145"/>
      <c r="N45" s="145">
        <f t="shared" si="9"/>
        <v>0</v>
      </c>
      <c r="O45" s="145"/>
      <c r="P45" s="145">
        <f t="shared" si="9"/>
        <v>0</v>
      </c>
      <c r="Q45" s="145"/>
      <c r="R45" s="145">
        <f t="shared" si="9"/>
        <v>0</v>
      </c>
      <c r="S45" s="145"/>
      <c r="T45" s="145">
        <f t="shared" si="9"/>
        <v>0</v>
      </c>
      <c r="U45" s="145"/>
      <c r="V45" s="145">
        <f t="shared" si="9"/>
        <v>0</v>
      </c>
      <c r="W45" s="145"/>
      <c r="X45" s="145">
        <f t="shared" si="9"/>
        <v>0</v>
      </c>
      <c r="Y45" s="145"/>
      <c r="Z45" s="145">
        <f t="shared" si="9"/>
        <v>0</v>
      </c>
      <c r="AA45" s="146"/>
      <c r="AB45" s="146"/>
      <c r="AC45" s="146">
        <f t="shared" si="9"/>
        <v>0</v>
      </c>
      <c r="AD45" s="146"/>
      <c r="AE45" s="147">
        <f t="shared" si="9"/>
        <v>0</v>
      </c>
      <c r="AF45" s="240"/>
      <c r="AG45" s="172">
        <f t="shared" si="9"/>
        <v>0</v>
      </c>
      <c r="AH45" s="242"/>
      <c r="AI45" s="145">
        <f t="shared" si="9"/>
        <v>0</v>
      </c>
      <c r="AJ45" s="145"/>
      <c r="AK45" s="145">
        <f t="shared" si="9"/>
        <v>0</v>
      </c>
      <c r="AL45" s="145"/>
      <c r="AM45" s="145">
        <f t="shared" si="9"/>
        <v>0</v>
      </c>
      <c r="AN45" s="145"/>
      <c r="AO45" s="145">
        <f t="shared" si="9"/>
        <v>0</v>
      </c>
      <c r="AP45" s="145"/>
      <c r="AQ45" s="145">
        <f t="shared" si="9"/>
        <v>0</v>
      </c>
      <c r="AR45" s="145"/>
      <c r="AS45" s="145">
        <f t="shared" si="9"/>
        <v>0</v>
      </c>
      <c r="AT45" s="145"/>
      <c r="AU45" s="145">
        <f t="shared" si="9"/>
        <v>0</v>
      </c>
      <c r="AV45" s="145"/>
      <c r="AW45" s="145">
        <f t="shared" si="9"/>
        <v>0</v>
      </c>
      <c r="AX45" s="145"/>
      <c r="AY45" s="145">
        <f t="shared" si="9"/>
        <v>0</v>
      </c>
      <c r="AZ45" s="145"/>
      <c r="BA45" s="145">
        <f t="shared" si="9"/>
        <v>0</v>
      </c>
      <c r="BB45" s="145"/>
      <c r="BC45" s="145">
        <f t="shared" si="9"/>
        <v>0</v>
      </c>
      <c r="BD45" s="145"/>
      <c r="BE45" s="145">
        <f t="shared" si="9"/>
        <v>0</v>
      </c>
      <c r="BF45" s="145"/>
      <c r="BG45" s="145">
        <f>BG46+BG47+BG48</f>
        <v>0</v>
      </c>
      <c r="BH45" s="145"/>
      <c r="BI45" s="145">
        <f>BI46+BI47+BI48</f>
        <v>0</v>
      </c>
      <c r="BJ45" s="145"/>
      <c r="BK45" s="145">
        <f>BK46+BK47+BK48</f>
        <v>0</v>
      </c>
      <c r="BL45" s="145"/>
      <c r="BM45" s="145">
        <f>BM46+BM47+BM48</f>
        <v>0</v>
      </c>
      <c r="BN45" s="145"/>
      <c r="BO45" s="145">
        <f>BO46+BO47+BO48</f>
        <v>0</v>
      </c>
      <c r="BP45" s="145"/>
      <c r="BQ45" s="145">
        <f>BQ46+BQ47+BQ48</f>
        <v>0</v>
      </c>
      <c r="BR45" s="145"/>
      <c r="BS45" s="145">
        <f>BS46+BS47+BS48</f>
        <v>0</v>
      </c>
      <c r="BT45" s="145"/>
      <c r="BU45" s="145">
        <f>BU46+BU47+BU48</f>
        <v>0</v>
      </c>
      <c r="BV45" s="145"/>
      <c r="BW45" s="145">
        <f>BW46+BW47+BW48</f>
        <v>0</v>
      </c>
      <c r="BX45" s="145"/>
      <c r="BY45" s="145">
        <f>BY46+BY47+BY48</f>
        <v>0</v>
      </c>
      <c r="BZ45" s="145"/>
      <c r="CA45" s="145">
        <f>CA46+CA47+CA48</f>
        <v>0</v>
      </c>
      <c r="CB45" s="145"/>
      <c r="CC45" s="145">
        <f>CC46+CC47+CC48</f>
        <v>0</v>
      </c>
      <c r="CD45" s="145"/>
      <c r="CE45" s="145">
        <f>CE46+CE47+CE48</f>
        <v>0</v>
      </c>
      <c r="CF45" s="145"/>
      <c r="CG45" s="145">
        <f>CG46+CG47+CG48</f>
        <v>0</v>
      </c>
      <c r="CH45" s="145"/>
      <c r="CI45" s="145">
        <f>CI46+CI47+CI48</f>
        <v>0</v>
      </c>
      <c r="CJ45" s="146"/>
      <c r="CK45" s="75">
        <f>CK46+CK47+CK48</f>
        <v>0</v>
      </c>
      <c r="CL45" s="74"/>
      <c r="CM45" s="148"/>
      <c r="CN45" s="74">
        <f>CN46+CN47+CN48</f>
        <v>0</v>
      </c>
      <c r="CO45" s="210"/>
      <c r="CP45" s="148">
        <f>CP46+CP47+CP48</f>
        <v>0</v>
      </c>
      <c r="CQ45" s="74"/>
      <c r="CR45" s="74"/>
      <c r="CS45" s="240"/>
      <c r="CT45" s="73">
        <f>CT46+CT47+CT48</f>
        <v>0</v>
      </c>
      <c r="CU45" s="73"/>
      <c r="CV45" s="73">
        <f>CV46+CV47+CV48</f>
        <v>0</v>
      </c>
      <c r="CW45" s="73"/>
      <c r="CX45" s="149">
        <f>CX46+CX47+CX48</f>
        <v>0</v>
      </c>
      <c r="CY45" s="211"/>
      <c r="CZ45" s="211"/>
      <c r="DA45" s="211"/>
      <c r="DB45" s="211"/>
      <c r="DC45" s="211"/>
      <c r="DD45" s="74">
        <f>DD46+DD47+DD48</f>
        <v>0</v>
      </c>
      <c r="DE45" s="75"/>
      <c r="DF45" s="75">
        <f>DF46+DF47+DF48</f>
        <v>0</v>
      </c>
      <c r="DG45" s="75"/>
      <c r="DH45" s="75">
        <f>DH46+DH47+DH48</f>
        <v>0</v>
      </c>
      <c r="DI45" s="74"/>
      <c r="DJ45" s="74"/>
      <c r="DK45" s="206" t="e">
        <f>DK46+DK47+DK48</f>
        <v>#REF!</v>
      </c>
    </row>
    <row r="46" spans="1:115" ht="19.5" hidden="1" thickBot="1">
      <c r="A46" s="83">
        <v>47</v>
      </c>
      <c r="B46" s="84">
        <v>70804</v>
      </c>
      <c r="C46" s="84"/>
      <c r="D46" s="196"/>
      <c r="E46" s="196"/>
      <c r="F46" s="196"/>
      <c r="G46" s="196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4"/>
      <c r="AA46" s="120"/>
      <c r="AB46" s="120"/>
      <c r="AC46" s="120">
        <f>SUM(H46:Z46)</f>
        <v>0</v>
      </c>
      <c r="AD46" s="120"/>
      <c r="AE46" s="131"/>
      <c r="AF46" s="241"/>
      <c r="AG46" s="156"/>
      <c r="AH46" s="243"/>
      <c r="AI46" s="87"/>
      <c r="AJ46" s="87"/>
      <c r="AK46" s="85"/>
      <c r="AL46" s="85"/>
      <c r="AM46" s="85"/>
      <c r="AN46" s="85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6"/>
      <c r="BJ46" s="86"/>
      <c r="BK46" s="87"/>
      <c r="BL46" s="87"/>
      <c r="BM46" s="86"/>
      <c r="BN46" s="86"/>
      <c r="BO46" s="87"/>
      <c r="BP46" s="87"/>
      <c r="BQ46" s="87"/>
      <c r="BR46" s="87"/>
      <c r="BS46" s="87"/>
      <c r="BT46" s="87"/>
      <c r="BU46" s="87"/>
      <c r="BV46" s="87"/>
      <c r="BW46" s="85"/>
      <c r="BX46" s="85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8"/>
      <c r="CK46" s="175"/>
      <c r="CL46" s="49"/>
      <c r="CM46" s="115"/>
      <c r="CN46" s="207">
        <f>SUM(AG46:CK46)</f>
        <v>0</v>
      </c>
      <c r="CO46" s="254"/>
      <c r="CP46" s="255"/>
      <c r="CQ46" s="258"/>
      <c r="CR46" s="49"/>
      <c r="CS46" s="115"/>
      <c r="CT46" s="29"/>
      <c r="CU46" s="29"/>
      <c r="CV46" s="29"/>
      <c r="CW46" s="29"/>
      <c r="CX46" s="141"/>
      <c r="CY46" s="212"/>
      <c r="CZ46" s="212"/>
      <c r="DA46" s="212"/>
      <c r="DB46" s="212"/>
      <c r="DC46" s="212"/>
      <c r="DD46" s="49"/>
      <c r="DE46" s="175"/>
      <c r="DF46" s="175"/>
      <c r="DG46" s="175"/>
      <c r="DH46" s="175"/>
      <c r="DI46" s="49"/>
      <c r="DJ46" s="49"/>
      <c r="DK46" s="188" t="e">
        <f>D46+F46+AC46+AE46+CN46+CP46+CR46+CT46+CV46+#REF!+CX46+DD46+DF46+DH46</f>
        <v>#REF!</v>
      </c>
    </row>
    <row r="47" spans="1:115" ht="19.5" hidden="1" thickBot="1">
      <c r="A47" s="15">
        <v>48</v>
      </c>
      <c r="B47" s="16">
        <v>70805</v>
      </c>
      <c r="C47" s="16"/>
      <c r="D47" s="202"/>
      <c r="E47" s="202"/>
      <c r="F47" s="202"/>
      <c r="G47" s="20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21"/>
      <c r="AB47" s="121"/>
      <c r="AC47" s="121">
        <f>SUM(H47:Z47)</f>
        <v>0</v>
      </c>
      <c r="AD47" s="121"/>
      <c r="AE47" s="132"/>
      <c r="AF47" s="53"/>
      <c r="AG47" s="34"/>
      <c r="AH47" s="34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30"/>
      <c r="CK47" s="176"/>
      <c r="CL47" s="38"/>
      <c r="CM47" s="53"/>
      <c r="CN47" s="38">
        <f>SUM(AG47:CK47)</f>
        <v>0</v>
      </c>
      <c r="CO47" s="41"/>
      <c r="CP47" s="53"/>
      <c r="CQ47" s="38"/>
      <c r="CR47" s="38"/>
      <c r="CS47" s="53"/>
      <c r="CT47" s="30"/>
      <c r="CU47" s="30"/>
      <c r="CV47" s="30"/>
      <c r="CW47" s="30"/>
      <c r="CX47" s="132"/>
      <c r="CY47" s="41"/>
      <c r="CZ47" s="41"/>
      <c r="DA47" s="41"/>
      <c r="DB47" s="41"/>
      <c r="DC47" s="41"/>
      <c r="DD47" s="38"/>
      <c r="DE47" s="176"/>
      <c r="DF47" s="176"/>
      <c r="DG47" s="176"/>
      <c r="DH47" s="176"/>
      <c r="DI47" s="38"/>
      <c r="DJ47" s="38"/>
      <c r="DK47" s="189" t="e">
        <f>D47+F47+AC47+AE47+CN47+CP47+CR47+CT47+CV47+#REF!+CX47+DD47+DF47+DH47</f>
        <v>#REF!</v>
      </c>
    </row>
    <row r="48" spans="1:115" ht="19.5" hidden="1" thickBot="1">
      <c r="A48" s="17">
        <v>49</v>
      </c>
      <c r="B48" s="17">
        <v>70806</v>
      </c>
      <c r="C48" s="17"/>
      <c r="D48" s="17">
        <f>D49+D50</f>
        <v>0</v>
      </c>
      <c r="E48" s="17"/>
      <c r="F48" s="205">
        <f>F49+F50</f>
        <v>0</v>
      </c>
      <c r="G48" s="205"/>
      <c r="H48" s="17">
        <f>H49+H50</f>
        <v>0</v>
      </c>
      <c r="I48" s="17"/>
      <c r="J48" s="17">
        <f>J49+J50</f>
        <v>0</v>
      </c>
      <c r="K48" s="17"/>
      <c r="L48" s="17">
        <f>L49+L50</f>
        <v>0</v>
      </c>
      <c r="M48" s="17"/>
      <c r="N48" s="17">
        <f>N49+N50</f>
        <v>0</v>
      </c>
      <c r="O48" s="17"/>
      <c r="P48" s="17">
        <f>P49+P50</f>
        <v>0</v>
      </c>
      <c r="Q48" s="17"/>
      <c r="R48" s="17">
        <f>R49+R50</f>
        <v>0</v>
      </c>
      <c r="S48" s="17"/>
      <c r="T48" s="17">
        <f>T49+T50</f>
        <v>0</v>
      </c>
      <c r="U48" s="17"/>
      <c r="V48" s="17">
        <f>V49+V50</f>
        <v>0</v>
      </c>
      <c r="W48" s="17"/>
      <c r="X48" s="17">
        <f>X49+X50</f>
        <v>0</v>
      </c>
      <c r="Y48" s="17"/>
      <c r="Z48" s="17">
        <f>Z49+Z50</f>
        <v>0</v>
      </c>
      <c r="AA48" s="31"/>
      <c r="AB48" s="31"/>
      <c r="AC48" s="31">
        <f>AC49+AC50</f>
        <v>0</v>
      </c>
      <c r="AD48" s="31"/>
      <c r="AE48" s="133">
        <f>AE49+AE50</f>
        <v>0</v>
      </c>
      <c r="AF48" s="54"/>
      <c r="AG48" s="35">
        <f>AG49+AG50</f>
        <v>0</v>
      </c>
      <c r="AH48" s="35"/>
      <c r="AI48" s="17">
        <f>AI49+AI50</f>
        <v>0</v>
      </c>
      <c r="AJ48" s="17"/>
      <c r="AK48" s="17">
        <f>AK49+AK50</f>
        <v>0</v>
      </c>
      <c r="AL48" s="17"/>
      <c r="AM48" s="17">
        <f>AM49+AM50</f>
        <v>0</v>
      </c>
      <c r="AN48" s="17"/>
      <c r="AO48" s="17">
        <f>AO49+AO50</f>
        <v>0</v>
      </c>
      <c r="AP48" s="17"/>
      <c r="AQ48" s="17">
        <f>AQ49+AQ50</f>
        <v>0</v>
      </c>
      <c r="AR48" s="17"/>
      <c r="AS48" s="17">
        <f>AS49+AS50</f>
        <v>0</v>
      </c>
      <c r="AT48" s="17"/>
      <c r="AU48" s="17">
        <f>AU49+AU50</f>
        <v>0</v>
      </c>
      <c r="AV48" s="17"/>
      <c r="AW48" s="17">
        <f>AW49+AW50</f>
        <v>0</v>
      </c>
      <c r="AX48" s="17"/>
      <c r="AY48" s="17">
        <f>AY49+AY50</f>
        <v>0</v>
      </c>
      <c r="AZ48" s="17"/>
      <c r="BA48" s="17">
        <f>BA49+BA50</f>
        <v>0</v>
      </c>
      <c r="BB48" s="17"/>
      <c r="BC48" s="17">
        <f>BC49+BC50</f>
        <v>0</v>
      </c>
      <c r="BD48" s="17"/>
      <c r="BE48" s="17">
        <f>BE49+BE50</f>
        <v>0</v>
      </c>
      <c r="BF48" s="17"/>
      <c r="BG48" s="17">
        <f>BG49+BG50</f>
        <v>0</v>
      </c>
      <c r="BH48" s="17"/>
      <c r="BI48" s="17">
        <f>BI49+BI50</f>
        <v>0</v>
      </c>
      <c r="BJ48" s="17"/>
      <c r="BK48" s="17">
        <f>BK49+BK50</f>
        <v>0</v>
      </c>
      <c r="BL48" s="17"/>
      <c r="BM48" s="17">
        <f>BM49+BM50</f>
        <v>0</v>
      </c>
      <c r="BN48" s="17"/>
      <c r="BO48" s="17">
        <f>BO49+BO50</f>
        <v>0</v>
      </c>
      <c r="BP48" s="17"/>
      <c r="BQ48" s="17">
        <f>BQ49+BQ50</f>
        <v>0</v>
      </c>
      <c r="BR48" s="17"/>
      <c r="BS48" s="17">
        <f>BS49+BS50</f>
        <v>0</v>
      </c>
      <c r="BT48" s="17"/>
      <c r="BU48" s="17">
        <f>BU49+BU50</f>
        <v>0</v>
      </c>
      <c r="BV48" s="17"/>
      <c r="BW48" s="17">
        <f>BW49+BW50</f>
        <v>0</v>
      </c>
      <c r="BX48" s="17"/>
      <c r="BY48" s="17">
        <f>BY49+BY50</f>
        <v>0</v>
      </c>
      <c r="BZ48" s="17"/>
      <c r="CA48" s="17">
        <f>CA49+CA50</f>
        <v>0</v>
      </c>
      <c r="CB48" s="17"/>
      <c r="CC48" s="17">
        <f>CC49+CC50</f>
        <v>0</v>
      </c>
      <c r="CD48" s="17"/>
      <c r="CE48" s="17">
        <f>CE49+CE50</f>
        <v>0</v>
      </c>
      <c r="CF48" s="17"/>
      <c r="CG48" s="17">
        <f>CG49+CG50</f>
        <v>0</v>
      </c>
      <c r="CH48" s="17"/>
      <c r="CI48" s="17">
        <f>CI49+CI50</f>
        <v>0</v>
      </c>
      <c r="CJ48" s="31"/>
      <c r="CK48" s="42">
        <f>CK49+CK50</f>
        <v>0</v>
      </c>
      <c r="CL48" s="158"/>
      <c r="CM48" s="54"/>
      <c r="CN48" s="158">
        <f>CN49+CN50</f>
        <v>0</v>
      </c>
      <c r="CO48" s="43"/>
      <c r="CP48" s="54">
        <f>CP49+CP50</f>
        <v>0</v>
      </c>
      <c r="CQ48" s="158"/>
      <c r="CR48" s="158"/>
      <c r="CS48" s="54"/>
      <c r="CT48" s="31">
        <f>CT49+CT50</f>
        <v>0</v>
      </c>
      <c r="CU48" s="31"/>
      <c r="CV48" s="31">
        <f>CV49+CV50</f>
        <v>0</v>
      </c>
      <c r="CW48" s="31"/>
      <c r="CX48" s="133">
        <f>CX49+CX50</f>
        <v>0</v>
      </c>
      <c r="CY48" s="43"/>
      <c r="CZ48" s="43"/>
      <c r="DA48" s="43"/>
      <c r="DB48" s="43"/>
      <c r="DC48" s="43"/>
      <c r="DD48" s="158">
        <f>DD49+DD50</f>
        <v>0</v>
      </c>
      <c r="DE48" s="42"/>
      <c r="DF48" s="42">
        <f>DF49+DF50</f>
        <v>0</v>
      </c>
      <c r="DG48" s="42"/>
      <c r="DH48" s="42">
        <f>DH49+DH50</f>
        <v>0</v>
      </c>
      <c r="DI48" s="158"/>
      <c r="DJ48" s="158"/>
      <c r="DK48" s="35" t="e">
        <f>DK49+DK50</f>
        <v>#REF!</v>
      </c>
    </row>
    <row r="49" spans="1:115" ht="19.5" hidden="1" thickBot="1">
      <c r="A49" s="6">
        <v>50</v>
      </c>
      <c r="B49" s="6" t="s">
        <v>6</v>
      </c>
      <c r="C49" s="6"/>
      <c r="D49" s="203"/>
      <c r="E49" s="203"/>
      <c r="F49" s="203"/>
      <c r="G49" s="20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4"/>
      <c r="AA49" s="122"/>
      <c r="AB49" s="122"/>
      <c r="AC49" s="122">
        <f>SUM(H49:Z49)</f>
        <v>0</v>
      </c>
      <c r="AD49" s="122"/>
      <c r="AE49" s="134"/>
      <c r="AF49" s="24"/>
      <c r="AG49" s="32"/>
      <c r="AH49" s="32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28"/>
      <c r="CK49" s="181"/>
      <c r="CL49" s="36"/>
      <c r="CM49" s="50"/>
      <c r="CN49" s="36">
        <f>SUM(AG49:CK49)</f>
        <v>0</v>
      </c>
      <c r="CO49" s="39"/>
      <c r="CP49" s="24"/>
      <c r="CQ49" s="159"/>
      <c r="CR49" s="159"/>
      <c r="CS49" s="24"/>
      <c r="CT49" s="23"/>
      <c r="CU49" s="23"/>
      <c r="CV49" s="23"/>
      <c r="CW49" s="23"/>
      <c r="CX49" s="134"/>
      <c r="CY49" s="44"/>
      <c r="CZ49" s="44"/>
      <c r="DA49" s="44"/>
      <c r="DB49" s="44"/>
      <c r="DC49" s="44"/>
      <c r="DD49" s="159"/>
      <c r="DE49" s="177"/>
      <c r="DF49" s="177"/>
      <c r="DG49" s="177"/>
      <c r="DH49" s="177"/>
      <c r="DI49" s="159"/>
      <c r="DJ49" s="159"/>
      <c r="DK49" s="190" t="e">
        <f>D49+F49+AC49+AE49+CN49+CP49+CR49+CT49+CV49+#REF!+CX49+DD49+DF49+DH49</f>
        <v>#REF!</v>
      </c>
    </row>
    <row r="50" spans="1:115" ht="19.5" hidden="1" thickBot="1">
      <c r="A50" s="4">
        <v>51</v>
      </c>
      <c r="B50" s="4" t="s">
        <v>7</v>
      </c>
      <c r="C50" s="4"/>
      <c r="D50" s="199"/>
      <c r="E50" s="199"/>
      <c r="F50" s="199"/>
      <c r="G50" s="19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22"/>
      <c r="AA50" s="231"/>
      <c r="AB50" s="231"/>
      <c r="AC50" s="122">
        <f>SUM(H50:Z50)</f>
        <v>0</v>
      </c>
      <c r="AD50" s="231"/>
      <c r="AE50" s="129"/>
      <c r="AF50" s="27"/>
      <c r="AG50" s="126"/>
      <c r="AH50" s="126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70"/>
      <c r="CK50" s="251"/>
      <c r="CL50" s="71"/>
      <c r="CM50" s="237"/>
      <c r="CN50" s="36">
        <f>SUM(AG50:CK50)</f>
        <v>0</v>
      </c>
      <c r="CO50" s="117"/>
      <c r="CP50" s="27"/>
      <c r="CQ50" s="157"/>
      <c r="CR50" s="157"/>
      <c r="CS50" s="27"/>
      <c r="CT50" s="26"/>
      <c r="CU50" s="26"/>
      <c r="CV50" s="26"/>
      <c r="CW50" s="26"/>
      <c r="CX50" s="129"/>
      <c r="CY50" s="72"/>
      <c r="CZ50" s="72"/>
      <c r="DA50" s="72"/>
      <c r="DB50" s="72"/>
      <c r="DC50" s="72"/>
      <c r="DD50" s="157"/>
      <c r="DE50" s="178"/>
      <c r="DF50" s="178"/>
      <c r="DG50" s="178"/>
      <c r="DH50" s="178"/>
      <c r="DI50" s="157"/>
      <c r="DJ50" s="157"/>
      <c r="DK50" s="190" t="e">
        <f>D50+F50+AC50+AE50+CN50+CP50+CR50+CT50+CV50+#REF!+CX50+DD50+DF50+DH50</f>
        <v>#REF!</v>
      </c>
    </row>
    <row r="51" spans="1:115" ht="19.5" hidden="1" thickBot="1">
      <c r="A51" s="150">
        <v>52</v>
      </c>
      <c r="B51" s="135" t="s">
        <v>58</v>
      </c>
      <c r="C51" s="229"/>
      <c r="D51" s="201"/>
      <c r="E51" s="201"/>
      <c r="F51" s="201"/>
      <c r="G51" s="20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89"/>
      <c r="AA51" s="123"/>
      <c r="AB51" s="123"/>
      <c r="AC51" s="123">
        <f>SUM(H51:Z51)</f>
        <v>0</v>
      </c>
      <c r="AD51" s="123"/>
      <c r="AE51" s="136"/>
      <c r="AF51" s="94"/>
      <c r="AG51" s="92"/>
      <c r="AH51" s="93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1"/>
      <c r="CK51" s="150"/>
      <c r="CL51" s="92"/>
      <c r="CM51" s="93"/>
      <c r="CN51" s="92">
        <f>SUM(AG51:CK51)</f>
        <v>0</v>
      </c>
      <c r="CO51" s="94"/>
      <c r="CP51" s="93"/>
      <c r="CQ51" s="92"/>
      <c r="CR51" s="92"/>
      <c r="CS51" s="93"/>
      <c r="CT51" s="91"/>
      <c r="CU51" s="91"/>
      <c r="CV51" s="91"/>
      <c r="CW51" s="91"/>
      <c r="CX51" s="136"/>
      <c r="CY51" s="94"/>
      <c r="CZ51" s="94"/>
      <c r="DA51" s="94"/>
      <c r="DB51" s="94"/>
      <c r="DC51" s="94"/>
      <c r="DD51" s="92"/>
      <c r="DE51" s="150"/>
      <c r="DF51" s="150"/>
      <c r="DG51" s="150"/>
      <c r="DH51" s="150"/>
      <c r="DI51" s="92"/>
      <c r="DJ51" s="92"/>
      <c r="DK51" s="191" t="e">
        <f>D51+F51+AC51+AE51+CN51+CP51+CR51+CT51+CV51+#REF!+CX51+DD51+DF51+DH51</f>
        <v>#REF!</v>
      </c>
    </row>
    <row r="52" spans="1:115" ht="19.5" hidden="1" thickBot="1">
      <c r="A52" s="95">
        <v>53</v>
      </c>
      <c r="B52" s="96" t="s">
        <v>57</v>
      </c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6"/>
      <c r="AA52" s="124"/>
      <c r="AB52" s="124"/>
      <c r="AC52" s="124">
        <f>SUM(H52:Z52)</f>
        <v>0</v>
      </c>
      <c r="AD52" s="124"/>
      <c r="AE52" s="137"/>
      <c r="AF52" s="101"/>
      <c r="AG52" s="99"/>
      <c r="AH52" s="100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8"/>
      <c r="CK52" s="179"/>
      <c r="CL52" s="99"/>
      <c r="CM52" s="100"/>
      <c r="CN52" s="99">
        <f>SUM(AG52:CK52)</f>
        <v>0</v>
      </c>
      <c r="CO52" s="101"/>
      <c r="CP52" s="100"/>
      <c r="CQ52" s="99"/>
      <c r="CR52" s="99"/>
      <c r="CS52" s="100"/>
      <c r="CT52" s="98"/>
      <c r="CU52" s="98"/>
      <c r="CV52" s="98"/>
      <c r="CW52" s="98"/>
      <c r="CX52" s="137"/>
      <c r="CY52" s="101"/>
      <c r="CZ52" s="101"/>
      <c r="DA52" s="101"/>
      <c r="DB52" s="101"/>
      <c r="DC52" s="101"/>
      <c r="DD52" s="99"/>
      <c r="DE52" s="179"/>
      <c r="DF52" s="179"/>
      <c r="DG52" s="179"/>
      <c r="DH52" s="179"/>
      <c r="DI52" s="99"/>
      <c r="DJ52" s="99"/>
      <c r="DK52" s="192" t="e">
        <f>D52+F52+AC52+AE52+CN52+CP52+CR52+CT52+CV52+#REF!+CX52+DD52+DF52+DH52</f>
        <v>#REF!</v>
      </c>
    </row>
    <row r="53" spans="1:115" ht="19.5" hidden="1" thickBot="1">
      <c r="A53" s="107">
        <v>54</v>
      </c>
      <c r="B53" s="103" t="s">
        <v>59</v>
      </c>
      <c r="C53" s="103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  <c r="AA53" s="125"/>
      <c r="AB53" s="125"/>
      <c r="AC53" s="125">
        <f>SUM(H53:Z53)</f>
        <v>0</v>
      </c>
      <c r="AD53" s="125"/>
      <c r="AE53" s="138"/>
      <c r="AF53" s="106"/>
      <c r="AG53" s="109"/>
      <c r="AH53" s="109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4"/>
      <c r="CK53" s="180"/>
      <c r="CL53" s="105"/>
      <c r="CM53" s="106"/>
      <c r="CN53" s="105">
        <f>SUM(AG53:CK53)</f>
        <v>0</v>
      </c>
      <c r="CO53" s="108"/>
      <c r="CP53" s="106"/>
      <c r="CQ53" s="105"/>
      <c r="CR53" s="105"/>
      <c r="CS53" s="106"/>
      <c r="CT53" s="104"/>
      <c r="CU53" s="104"/>
      <c r="CV53" s="104"/>
      <c r="CW53" s="104"/>
      <c r="CX53" s="138"/>
      <c r="CY53" s="108"/>
      <c r="CZ53" s="108"/>
      <c r="DA53" s="108"/>
      <c r="DB53" s="108"/>
      <c r="DC53" s="108"/>
      <c r="DD53" s="105"/>
      <c r="DE53" s="180"/>
      <c r="DF53" s="180"/>
      <c r="DG53" s="180"/>
      <c r="DH53" s="180"/>
      <c r="DI53" s="105"/>
      <c r="DJ53" s="105"/>
      <c r="DK53" s="193" t="e">
        <f>D53+F53+AC53+AE53+CN53+CP53+CR53+CT53+CV53+#REF!+CX53+DD53+DF53+DH53</f>
        <v>#REF!</v>
      </c>
    </row>
    <row r="54" spans="1:117" ht="19.5" thickBot="1">
      <c r="A54" s="110">
        <v>55</v>
      </c>
      <c r="B54" s="111" t="s">
        <v>4</v>
      </c>
      <c r="C54" s="112">
        <f>C39+C40+C41+C44+C45+C51+C52+C53</f>
        <v>9306599.3299</v>
      </c>
      <c r="D54" s="112">
        <f>D39+D40+D41+D44+D45+D51+D52+D53</f>
        <v>2545865.2319</v>
      </c>
      <c r="E54" s="112">
        <f>E39+E40+E41+E44+E45+E51+E52+E53</f>
        <v>2016522.0140000002</v>
      </c>
      <c r="F54" s="112">
        <f>F39+F40+F41+F44+F45+F51+F52+F53</f>
        <v>586765.83285</v>
      </c>
      <c r="G54" s="112">
        <f>G39+G40+G41+G44+G45+G51+G52+G53</f>
        <v>0</v>
      </c>
      <c r="H54" s="112">
        <f aca="true" t="shared" si="10" ref="H54:BS54">H39+H40+H41+H44+H45+H51+H52+H53</f>
        <v>0</v>
      </c>
      <c r="I54" s="112">
        <f t="shared" si="10"/>
        <v>0</v>
      </c>
      <c r="J54" s="112">
        <f t="shared" si="10"/>
        <v>0</v>
      </c>
      <c r="K54" s="112">
        <f t="shared" si="10"/>
        <v>0</v>
      </c>
      <c r="L54" s="112">
        <f t="shared" si="10"/>
        <v>0</v>
      </c>
      <c r="M54" s="112">
        <f t="shared" si="10"/>
        <v>0</v>
      </c>
      <c r="N54" s="112">
        <f t="shared" si="10"/>
        <v>0</v>
      </c>
      <c r="O54" s="112">
        <f t="shared" si="10"/>
        <v>0</v>
      </c>
      <c r="P54" s="112">
        <f t="shared" si="10"/>
        <v>87267</v>
      </c>
      <c r="Q54" s="112">
        <f t="shared" si="10"/>
        <v>0</v>
      </c>
      <c r="R54" s="112">
        <f t="shared" si="10"/>
        <v>0</v>
      </c>
      <c r="S54" s="112">
        <f t="shared" si="10"/>
        <v>0</v>
      </c>
      <c r="T54" s="112">
        <f t="shared" si="10"/>
        <v>0</v>
      </c>
      <c r="U54" s="112">
        <f t="shared" si="10"/>
        <v>0</v>
      </c>
      <c r="V54" s="112">
        <f t="shared" si="10"/>
        <v>66082.8</v>
      </c>
      <c r="W54" s="112">
        <f t="shared" si="10"/>
        <v>0</v>
      </c>
      <c r="X54" s="112">
        <f t="shared" si="10"/>
        <v>0</v>
      </c>
      <c r="Y54" s="112">
        <f t="shared" si="10"/>
        <v>0</v>
      </c>
      <c r="Z54" s="112">
        <f t="shared" si="10"/>
        <v>0</v>
      </c>
      <c r="AA54" s="112">
        <f t="shared" si="10"/>
        <v>0</v>
      </c>
      <c r="AB54" s="112">
        <f t="shared" si="10"/>
        <v>153349.8</v>
      </c>
      <c r="AC54" s="113">
        <f t="shared" si="10"/>
        <v>153349.8</v>
      </c>
      <c r="AD54" s="113">
        <f t="shared" si="10"/>
        <v>0</v>
      </c>
      <c r="AE54" s="114">
        <f t="shared" si="10"/>
        <v>-80671.20000000001</v>
      </c>
      <c r="AF54" s="114">
        <f t="shared" si="10"/>
        <v>0</v>
      </c>
      <c r="AG54" s="160">
        <f t="shared" si="10"/>
        <v>12078.570000000002</v>
      </c>
      <c r="AH54" s="160">
        <f t="shared" si="10"/>
        <v>0</v>
      </c>
      <c r="AI54" s="112">
        <f t="shared" si="10"/>
        <v>48798</v>
      </c>
      <c r="AJ54" s="112">
        <f t="shared" si="10"/>
        <v>0</v>
      </c>
      <c r="AK54" s="112">
        <f t="shared" si="10"/>
        <v>3303</v>
      </c>
      <c r="AL54" s="112">
        <f t="shared" si="10"/>
        <v>0</v>
      </c>
      <c r="AM54" s="112">
        <f t="shared" si="10"/>
        <v>0</v>
      </c>
      <c r="AN54" s="112">
        <f t="shared" si="10"/>
        <v>0</v>
      </c>
      <c r="AO54" s="112">
        <f t="shared" si="10"/>
        <v>0</v>
      </c>
      <c r="AP54" s="112">
        <f t="shared" si="10"/>
        <v>0</v>
      </c>
      <c r="AQ54" s="112">
        <f t="shared" si="10"/>
        <v>106932.56</v>
      </c>
      <c r="AR54" s="112">
        <f t="shared" si="10"/>
        <v>0</v>
      </c>
      <c r="AS54" s="112">
        <f t="shared" si="10"/>
        <v>0</v>
      </c>
      <c r="AT54" s="112">
        <f t="shared" si="10"/>
        <v>0</v>
      </c>
      <c r="AU54" s="112">
        <f t="shared" si="10"/>
        <v>0</v>
      </c>
      <c r="AV54" s="112">
        <f t="shared" si="10"/>
        <v>0</v>
      </c>
      <c r="AW54" s="112">
        <f t="shared" si="10"/>
        <v>0</v>
      </c>
      <c r="AX54" s="112">
        <f t="shared" si="10"/>
        <v>0</v>
      </c>
      <c r="AY54" s="112">
        <f t="shared" si="10"/>
        <v>0</v>
      </c>
      <c r="AZ54" s="112">
        <f t="shared" si="10"/>
        <v>0</v>
      </c>
      <c r="BA54" s="112">
        <f t="shared" si="10"/>
        <v>0</v>
      </c>
      <c r="BB54" s="112">
        <f t="shared" si="10"/>
        <v>0</v>
      </c>
      <c r="BC54" s="112">
        <f t="shared" si="10"/>
        <v>0</v>
      </c>
      <c r="BD54" s="112">
        <f t="shared" si="10"/>
        <v>0</v>
      </c>
      <c r="BE54" s="112">
        <f t="shared" si="10"/>
        <v>0</v>
      </c>
      <c r="BF54" s="112">
        <f t="shared" si="10"/>
        <v>0</v>
      </c>
      <c r="BG54" s="112">
        <f t="shared" si="10"/>
        <v>0</v>
      </c>
      <c r="BH54" s="112">
        <f t="shared" si="10"/>
        <v>0</v>
      </c>
      <c r="BI54" s="112">
        <f t="shared" si="10"/>
        <v>0</v>
      </c>
      <c r="BJ54" s="112">
        <f t="shared" si="10"/>
        <v>0</v>
      </c>
      <c r="BK54" s="112">
        <f t="shared" si="10"/>
        <v>0</v>
      </c>
      <c r="BL54" s="112">
        <f t="shared" si="10"/>
        <v>0</v>
      </c>
      <c r="BM54" s="112">
        <f t="shared" si="10"/>
        <v>0</v>
      </c>
      <c r="BN54" s="112">
        <f t="shared" si="10"/>
        <v>0</v>
      </c>
      <c r="BO54" s="112">
        <f t="shared" si="10"/>
        <v>0</v>
      </c>
      <c r="BP54" s="112">
        <f t="shared" si="10"/>
        <v>0</v>
      </c>
      <c r="BQ54" s="112">
        <f t="shared" si="10"/>
        <v>0</v>
      </c>
      <c r="BR54" s="112">
        <f t="shared" si="10"/>
        <v>0</v>
      </c>
      <c r="BS54" s="112">
        <f t="shared" si="10"/>
        <v>0</v>
      </c>
      <c r="BT54" s="112">
        <f aca="true" t="shared" si="11" ref="BT54:DJ54">BT39+BT40+BT41+BT44+BT45+BT51+BT52+BT53</f>
        <v>0</v>
      </c>
      <c r="BU54" s="112">
        <f t="shared" si="11"/>
        <v>0</v>
      </c>
      <c r="BV54" s="112">
        <f t="shared" si="11"/>
        <v>0</v>
      </c>
      <c r="BW54" s="112">
        <f t="shared" si="11"/>
        <v>0</v>
      </c>
      <c r="BX54" s="112">
        <f t="shared" si="11"/>
        <v>0</v>
      </c>
      <c r="BY54" s="112">
        <f t="shared" si="11"/>
        <v>0</v>
      </c>
      <c r="BZ54" s="112">
        <f t="shared" si="11"/>
        <v>0</v>
      </c>
      <c r="CA54" s="112">
        <f t="shared" si="11"/>
        <v>0</v>
      </c>
      <c r="CB54" s="112">
        <f t="shared" si="11"/>
        <v>0</v>
      </c>
      <c r="CC54" s="112">
        <f t="shared" si="11"/>
        <v>5030</v>
      </c>
      <c r="CD54" s="112">
        <f t="shared" si="11"/>
        <v>0</v>
      </c>
      <c r="CE54" s="112">
        <f t="shared" si="11"/>
        <v>5526.2</v>
      </c>
      <c r="CF54" s="112">
        <f t="shared" si="11"/>
        <v>0</v>
      </c>
      <c r="CG54" s="112">
        <f t="shared" si="11"/>
        <v>35306.55000000002</v>
      </c>
      <c r="CH54" s="112">
        <f t="shared" si="11"/>
        <v>0</v>
      </c>
      <c r="CI54" s="112">
        <f t="shared" si="11"/>
        <v>0</v>
      </c>
      <c r="CJ54" s="112">
        <f t="shared" si="11"/>
        <v>0</v>
      </c>
      <c r="CK54" s="139">
        <f t="shared" si="11"/>
        <v>16.28</v>
      </c>
      <c r="CL54" s="139">
        <f t="shared" si="11"/>
        <v>0</v>
      </c>
      <c r="CM54" s="139">
        <f t="shared" si="11"/>
        <v>216991.15999999995</v>
      </c>
      <c r="CN54" s="160">
        <f t="shared" si="11"/>
        <v>216991.15999999995</v>
      </c>
      <c r="CO54" s="160">
        <f t="shared" si="11"/>
        <v>0</v>
      </c>
      <c r="CP54" s="116">
        <f t="shared" si="11"/>
        <v>0</v>
      </c>
      <c r="CQ54" s="160">
        <f t="shared" si="11"/>
        <v>0</v>
      </c>
      <c r="CR54" s="160">
        <f t="shared" si="11"/>
        <v>3040864.8405800005</v>
      </c>
      <c r="CS54" s="160">
        <f t="shared" si="11"/>
        <v>0</v>
      </c>
      <c r="CT54" s="113">
        <f t="shared" si="11"/>
        <v>14713.499999999998</v>
      </c>
      <c r="CU54" s="113">
        <f t="shared" si="11"/>
        <v>0</v>
      </c>
      <c r="CV54" s="113">
        <f t="shared" si="11"/>
        <v>134383.6473</v>
      </c>
      <c r="CW54" s="113">
        <f t="shared" si="11"/>
        <v>0</v>
      </c>
      <c r="CX54" s="114">
        <f t="shared" si="11"/>
        <v>-986.64</v>
      </c>
      <c r="CY54" s="114">
        <f t="shared" si="11"/>
        <v>0</v>
      </c>
      <c r="CZ54" s="114">
        <f t="shared" si="11"/>
        <v>0</v>
      </c>
      <c r="DA54" s="114">
        <f t="shared" si="11"/>
        <v>0</v>
      </c>
      <c r="DB54" s="114">
        <f t="shared" si="11"/>
        <v>0</v>
      </c>
      <c r="DC54" s="114">
        <f t="shared" si="11"/>
        <v>0</v>
      </c>
      <c r="DD54" s="160">
        <f t="shared" si="11"/>
        <v>0</v>
      </c>
      <c r="DE54" s="160">
        <f t="shared" si="11"/>
        <v>0</v>
      </c>
      <c r="DF54" s="139">
        <f t="shared" si="11"/>
        <v>0</v>
      </c>
      <c r="DG54" s="139">
        <f t="shared" si="11"/>
        <v>0</v>
      </c>
      <c r="DH54" s="139">
        <f t="shared" si="11"/>
        <v>0</v>
      </c>
      <c r="DI54" s="139">
        <f t="shared" si="11"/>
        <v>11323121.343900003</v>
      </c>
      <c r="DJ54" s="160">
        <f t="shared" si="11"/>
        <v>6611276.17263</v>
      </c>
      <c r="DK54" s="160">
        <f>DK40+DK39</f>
        <v>17934397.51653</v>
      </c>
      <c r="DM54" s="195">
        <f>DK54-DL56</f>
        <v>-0.0034699998795986176</v>
      </c>
    </row>
    <row r="55" spans="26:115" ht="18.75">
      <c r="Z55" s="19"/>
      <c r="AA55" s="19"/>
      <c r="AB55" s="19"/>
      <c r="AC55" s="19"/>
      <c r="AD55" s="19"/>
      <c r="DK55" s="220">
        <f>DI54+DJ54</f>
        <v>17934397.516530003</v>
      </c>
    </row>
    <row r="56" spans="98:116" ht="18.75">
      <c r="CT56" s="21"/>
      <c r="CU56" s="21"/>
      <c r="DK56" s="220">
        <f>C54+D54+E54+F54+AC54+AE54+AD54+CN54+CO54+CP54+CQ54+CR54+CS54+CT54+CU54+CV54+CW54+CX54+CY54+CZ54+DA54+DB54+DC54+DD54+DE54+DF54+DG54+DH54</f>
        <v>17934397.516530003</v>
      </c>
      <c r="DL56">
        <v>17934397.52</v>
      </c>
    </row>
  </sheetData>
  <sheetProtection/>
  <mergeCells count="61">
    <mergeCell ref="Q5:R5"/>
    <mergeCell ref="S5:T5"/>
    <mergeCell ref="I5:J5"/>
    <mergeCell ref="K5:L5"/>
    <mergeCell ref="M5:N5"/>
    <mergeCell ref="O5:P5"/>
    <mergeCell ref="DI4:DK5"/>
    <mergeCell ref="A1:DK3"/>
    <mergeCell ref="C4:D5"/>
    <mergeCell ref="E4:F5"/>
    <mergeCell ref="G4:AC4"/>
    <mergeCell ref="AD4:AE5"/>
    <mergeCell ref="AF4:CK4"/>
    <mergeCell ref="G5:H5"/>
    <mergeCell ref="A4:A5"/>
    <mergeCell ref="B4:B5"/>
    <mergeCell ref="AF5:AG5"/>
    <mergeCell ref="AH5:AI5"/>
    <mergeCell ref="DE4:DF5"/>
    <mergeCell ref="DG4:DH5"/>
    <mergeCell ref="BF5:BG5"/>
    <mergeCell ref="DC4:DD5"/>
    <mergeCell ref="U5:V5"/>
    <mergeCell ref="W5:X5"/>
    <mergeCell ref="Y5:Z5"/>
    <mergeCell ref="AA5:AC5"/>
    <mergeCell ref="BD5:BE5"/>
    <mergeCell ref="BH5:B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CH5:CI5"/>
    <mergeCell ref="CJ5:CK5"/>
    <mergeCell ref="CW5:CX5"/>
    <mergeCell ref="CS4:CT5"/>
    <mergeCell ref="BT5:BU5"/>
    <mergeCell ref="BV5:BW5"/>
    <mergeCell ref="BX5:BY5"/>
    <mergeCell ref="BZ5:CA5"/>
    <mergeCell ref="CD5:CE5"/>
    <mergeCell ref="CF5:CG5"/>
    <mergeCell ref="CY5:CZ5"/>
    <mergeCell ref="BJ5:BK5"/>
    <mergeCell ref="BL5:BM5"/>
    <mergeCell ref="BN5:BO5"/>
    <mergeCell ref="BP5:BQ5"/>
    <mergeCell ref="CB5:CC5"/>
    <mergeCell ref="CQ4:CR5"/>
    <mergeCell ref="BR5:BS5"/>
    <mergeCell ref="DA5:DB5"/>
    <mergeCell ref="CU4:CV5"/>
    <mergeCell ref="CW4:DB4"/>
    <mergeCell ref="CL4:CN5"/>
    <mergeCell ref="CO4:CP5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39" r:id="rId1"/>
  <colBreaks count="8" manualBreakCount="8">
    <brk id="12" max="65535" man="1"/>
    <brk id="29" max="65535" man="1"/>
    <brk id="43" max="65535" man="1"/>
    <brk id="55" max="65535" man="1"/>
    <brk id="67" max="65535" man="1"/>
    <brk id="81" max="65535" man="1"/>
    <brk id="92" max="65535" man="1"/>
    <brk id="10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DO56"/>
  <sheetViews>
    <sheetView view="pageBreakPreview" zoomScale="90" zoomScaleNormal="50" zoomScaleSheetLayoutView="90" zoomScalePageLayoutView="0" workbookViewId="0" topLeftCell="A1">
      <pane xSplit="2" ySplit="6" topLeftCell="CO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M54" sqref="CM54"/>
    </sheetView>
  </sheetViews>
  <sheetFormatPr defaultColWidth="9.00390625" defaultRowHeight="12.75"/>
  <cols>
    <col min="1" max="1" width="5.00390625" style="18" customWidth="1"/>
    <col min="2" max="2" width="38.375" style="18" customWidth="1"/>
    <col min="3" max="3" width="18.00390625" style="18" customWidth="1"/>
    <col min="4" max="5" width="17.75390625" style="18" customWidth="1"/>
    <col min="6" max="7" width="16.875" style="18" customWidth="1"/>
    <col min="8" max="8" width="17.125" style="18" customWidth="1"/>
    <col min="9" max="17" width="14.75390625" style="18" customWidth="1"/>
    <col min="18" max="18" width="15.75390625" style="18" customWidth="1"/>
    <col min="19" max="19" width="14.625" style="18" customWidth="1"/>
    <col min="20" max="20" width="14.75390625" style="18" customWidth="1"/>
    <col min="21" max="21" width="16.25390625" style="18" customWidth="1"/>
    <col min="22" max="22" width="16.00390625" style="18" customWidth="1"/>
    <col min="23" max="23" width="17.00390625" style="18" customWidth="1"/>
    <col min="24" max="24" width="16.375" style="18" customWidth="1"/>
    <col min="25" max="25" width="14.75390625" style="18" customWidth="1"/>
    <col min="26" max="29" width="14.75390625" style="20" customWidth="1"/>
    <col min="30" max="30" width="17.75390625" style="20" customWidth="1"/>
    <col min="31" max="32" width="17.25390625" style="18" customWidth="1"/>
    <col min="33" max="34" width="18.125" style="18" customWidth="1"/>
    <col min="35" max="35" width="17.125" style="18" customWidth="1"/>
    <col min="36" max="36" width="16.25390625" style="18" customWidth="1"/>
    <col min="37" max="37" width="16.875" style="18" customWidth="1"/>
    <col min="38" max="38" width="14.75390625" style="18" customWidth="1"/>
    <col min="39" max="40" width="16.00390625" style="18" customWidth="1"/>
    <col min="41" max="41" width="14.75390625" style="18" customWidth="1"/>
    <col min="42" max="42" width="15.75390625" style="18" customWidth="1"/>
    <col min="43" max="44" width="16.25390625" style="18" customWidth="1"/>
    <col min="45" max="45" width="17.00390625" style="18" customWidth="1"/>
    <col min="46" max="47" width="15.875" style="18" customWidth="1"/>
    <col min="48" max="48" width="16.875" style="18" customWidth="1"/>
    <col min="49" max="50" width="16.00390625" style="18" customWidth="1"/>
    <col min="51" max="51" width="16.25390625" style="18" customWidth="1"/>
    <col min="52" max="52" width="15.875" style="18" customWidth="1"/>
    <col min="53" max="54" width="18.00390625" style="18" customWidth="1"/>
    <col min="55" max="55" width="16.25390625" style="18" customWidth="1"/>
    <col min="56" max="66" width="14.75390625" style="18" customWidth="1"/>
    <col min="67" max="67" width="16.125" style="18" customWidth="1"/>
    <col min="68" max="93" width="14.75390625" style="18" customWidth="1"/>
    <col min="94" max="95" width="17.125" style="18" customWidth="1"/>
    <col min="96" max="96" width="16.625" style="18" customWidth="1"/>
    <col min="97" max="97" width="14.75390625" style="18" customWidth="1"/>
    <col min="98" max="99" width="16.25390625" style="18" customWidth="1"/>
    <col min="100" max="101" width="16.875" style="18" customWidth="1"/>
    <col min="102" max="107" width="15.375" style="18" customWidth="1"/>
    <col min="108" max="109" width="16.375" style="18" customWidth="1"/>
    <col min="110" max="112" width="14.75390625" style="18" customWidth="1"/>
    <col min="113" max="113" width="16.25390625" style="18" customWidth="1"/>
    <col min="114" max="114" width="17.00390625" style="18" customWidth="1"/>
    <col min="115" max="115" width="18.125" style="18" customWidth="1"/>
    <col min="116" max="117" width="14.625" style="0" customWidth="1"/>
  </cols>
  <sheetData>
    <row r="1" spans="1:115" ht="18" customHeight="1">
      <c r="A1" s="281" t="s">
        <v>110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2"/>
    </row>
    <row r="2" spans="1:115" ht="12.75" customHeight="1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2"/>
    </row>
    <row r="3" spans="1:115" ht="18.75" customHeight="1" hidden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2"/>
    </row>
    <row r="4" spans="1:115" s="2" customFormat="1" ht="45.75" customHeight="1">
      <c r="A4" s="289" t="s">
        <v>1</v>
      </c>
      <c r="B4" s="284" t="s">
        <v>0</v>
      </c>
      <c r="C4" s="284" t="s">
        <v>78</v>
      </c>
      <c r="D4" s="284"/>
      <c r="E4" s="284" t="s">
        <v>79</v>
      </c>
      <c r="F4" s="284"/>
      <c r="G4" s="286" t="s">
        <v>92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/>
      <c r="AD4" s="265" t="s">
        <v>70</v>
      </c>
      <c r="AE4" s="266"/>
      <c r="AF4" s="265" t="s">
        <v>80</v>
      </c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66"/>
      <c r="CL4" s="271" t="s">
        <v>73</v>
      </c>
      <c r="CM4" s="271"/>
      <c r="CN4" s="266"/>
      <c r="CO4" s="265" t="s">
        <v>81</v>
      </c>
      <c r="CP4" s="266"/>
      <c r="CQ4" s="265" t="s">
        <v>82</v>
      </c>
      <c r="CR4" s="266"/>
      <c r="CS4" s="265" t="s">
        <v>83</v>
      </c>
      <c r="CT4" s="266"/>
      <c r="CU4" s="265" t="s">
        <v>84</v>
      </c>
      <c r="CV4" s="266"/>
      <c r="CW4" s="269" t="s">
        <v>85</v>
      </c>
      <c r="CX4" s="270"/>
      <c r="CY4" s="270"/>
      <c r="CZ4" s="270"/>
      <c r="DA4" s="270"/>
      <c r="DB4" s="270"/>
      <c r="DC4" s="291" t="s">
        <v>86</v>
      </c>
      <c r="DD4" s="292"/>
      <c r="DE4" s="265" t="s">
        <v>87</v>
      </c>
      <c r="DF4" s="266"/>
      <c r="DG4" s="265" t="s">
        <v>88</v>
      </c>
      <c r="DH4" s="266"/>
      <c r="DI4" s="265" t="s">
        <v>4</v>
      </c>
      <c r="DJ4" s="271"/>
      <c r="DK4" s="279"/>
    </row>
    <row r="5" spans="1:115" s="2" customFormat="1" ht="84.75" customHeight="1" thickBot="1">
      <c r="A5" s="290"/>
      <c r="B5" s="285"/>
      <c r="C5" s="285"/>
      <c r="D5" s="285"/>
      <c r="E5" s="285"/>
      <c r="F5" s="285"/>
      <c r="G5" s="273" t="s">
        <v>62</v>
      </c>
      <c r="H5" s="274"/>
      <c r="I5" s="273" t="s">
        <v>60</v>
      </c>
      <c r="J5" s="274"/>
      <c r="K5" s="273" t="s">
        <v>108</v>
      </c>
      <c r="L5" s="274"/>
      <c r="M5" s="273" t="s">
        <v>61</v>
      </c>
      <c r="N5" s="274"/>
      <c r="O5" s="263" t="s">
        <v>109</v>
      </c>
      <c r="P5" s="264"/>
      <c r="Q5" s="273" t="s">
        <v>111</v>
      </c>
      <c r="R5" s="274"/>
      <c r="S5" s="273" t="s">
        <v>35</v>
      </c>
      <c r="T5" s="274"/>
      <c r="U5" s="273" t="s">
        <v>65</v>
      </c>
      <c r="V5" s="274"/>
      <c r="W5" s="273" t="s">
        <v>64</v>
      </c>
      <c r="X5" s="274"/>
      <c r="Y5" s="273" t="s">
        <v>63</v>
      </c>
      <c r="Z5" s="274"/>
      <c r="AA5" s="273" t="s">
        <v>71</v>
      </c>
      <c r="AB5" s="278"/>
      <c r="AC5" s="274"/>
      <c r="AD5" s="267"/>
      <c r="AE5" s="268"/>
      <c r="AF5" s="273" t="s">
        <v>77</v>
      </c>
      <c r="AG5" s="274"/>
      <c r="AH5" s="273" t="s">
        <v>39</v>
      </c>
      <c r="AI5" s="274"/>
      <c r="AJ5" s="273" t="s">
        <v>40</v>
      </c>
      <c r="AK5" s="274"/>
      <c r="AL5" s="273" t="s">
        <v>66</v>
      </c>
      <c r="AM5" s="274"/>
      <c r="AN5" s="273" t="s">
        <v>36</v>
      </c>
      <c r="AO5" s="274"/>
      <c r="AP5" s="275" t="s">
        <v>107</v>
      </c>
      <c r="AQ5" s="276"/>
      <c r="AR5" s="273" t="s">
        <v>41</v>
      </c>
      <c r="AS5" s="274"/>
      <c r="AT5" s="273" t="s">
        <v>42</v>
      </c>
      <c r="AU5" s="274"/>
      <c r="AV5" s="273" t="s">
        <v>43</v>
      </c>
      <c r="AW5" s="274"/>
      <c r="AX5" s="273" t="s">
        <v>44</v>
      </c>
      <c r="AY5" s="274"/>
      <c r="AZ5" s="273" t="s">
        <v>45</v>
      </c>
      <c r="BA5" s="274"/>
      <c r="BB5" s="273" t="s">
        <v>103</v>
      </c>
      <c r="BC5" s="274"/>
      <c r="BD5" s="273" t="s">
        <v>49</v>
      </c>
      <c r="BE5" s="274"/>
      <c r="BF5" s="263" t="s">
        <v>102</v>
      </c>
      <c r="BG5" s="264"/>
      <c r="BH5" s="273" t="s">
        <v>50</v>
      </c>
      <c r="BI5" s="274"/>
      <c r="BJ5" s="273" t="s">
        <v>51</v>
      </c>
      <c r="BK5" s="274"/>
      <c r="BL5" s="273" t="s">
        <v>52</v>
      </c>
      <c r="BM5" s="274"/>
      <c r="BN5" s="273" t="s">
        <v>53</v>
      </c>
      <c r="BO5" s="274"/>
      <c r="BP5" s="273" t="s">
        <v>46</v>
      </c>
      <c r="BQ5" s="274"/>
      <c r="BR5" s="273" t="s">
        <v>47</v>
      </c>
      <c r="BS5" s="274"/>
      <c r="BT5" s="273" t="s">
        <v>48</v>
      </c>
      <c r="BU5" s="274"/>
      <c r="BV5" s="273" t="s">
        <v>37</v>
      </c>
      <c r="BW5" s="274"/>
      <c r="BX5" s="273" t="s">
        <v>38</v>
      </c>
      <c r="BY5" s="274"/>
      <c r="BZ5" s="273" t="s">
        <v>67</v>
      </c>
      <c r="CA5" s="274"/>
      <c r="CB5" s="273" t="s">
        <v>101</v>
      </c>
      <c r="CC5" s="274"/>
      <c r="CD5" s="273" t="s">
        <v>106</v>
      </c>
      <c r="CE5" s="274"/>
      <c r="CF5" s="273" t="s">
        <v>68</v>
      </c>
      <c r="CG5" s="274"/>
      <c r="CH5" s="273" t="s">
        <v>69</v>
      </c>
      <c r="CI5" s="274"/>
      <c r="CJ5" s="273" t="s">
        <v>100</v>
      </c>
      <c r="CK5" s="277"/>
      <c r="CL5" s="272"/>
      <c r="CM5" s="272"/>
      <c r="CN5" s="268"/>
      <c r="CO5" s="267"/>
      <c r="CP5" s="268"/>
      <c r="CQ5" s="267"/>
      <c r="CR5" s="268"/>
      <c r="CS5" s="267"/>
      <c r="CT5" s="268"/>
      <c r="CU5" s="267"/>
      <c r="CV5" s="268"/>
      <c r="CW5" s="275" t="s">
        <v>91</v>
      </c>
      <c r="CX5" s="276"/>
      <c r="CY5" s="275" t="s">
        <v>89</v>
      </c>
      <c r="CZ5" s="276"/>
      <c r="DA5" s="263" t="s">
        <v>90</v>
      </c>
      <c r="DB5" s="264"/>
      <c r="DC5" s="293"/>
      <c r="DD5" s="294"/>
      <c r="DE5" s="267"/>
      <c r="DF5" s="268"/>
      <c r="DG5" s="267"/>
      <c r="DH5" s="268"/>
      <c r="DI5" s="267"/>
      <c r="DJ5" s="272"/>
      <c r="DK5" s="280"/>
    </row>
    <row r="6" spans="1:115" s="2" customFormat="1" ht="19.5" thickBot="1">
      <c r="A6" s="232"/>
      <c r="B6" s="154" t="s">
        <v>94</v>
      </c>
      <c r="C6" s="154" t="s">
        <v>95</v>
      </c>
      <c r="D6" s="154" t="s">
        <v>96</v>
      </c>
      <c r="E6" s="154" t="s">
        <v>95</v>
      </c>
      <c r="F6" s="154" t="s">
        <v>96</v>
      </c>
      <c r="G6" s="154" t="s">
        <v>95</v>
      </c>
      <c r="H6" s="154" t="s">
        <v>96</v>
      </c>
      <c r="I6" s="154" t="s">
        <v>95</v>
      </c>
      <c r="J6" s="154" t="s">
        <v>96</v>
      </c>
      <c r="K6" s="154" t="s">
        <v>95</v>
      </c>
      <c r="L6" s="154" t="s">
        <v>96</v>
      </c>
      <c r="M6" s="154" t="s">
        <v>95</v>
      </c>
      <c r="N6" s="154" t="s">
        <v>96</v>
      </c>
      <c r="O6" s="154" t="s">
        <v>95</v>
      </c>
      <c r="P6" s="154" t="s">
        <v>96</v>
      </c>
      <c r="Q6" s="154" t="s">
        <v>95</v>
      </c>
      <c r="R6" s="154" t="s">
        <v>96</v>
      </c>
      <c r="S6" s="154" t="s">
        <v>95</v>
      </c>
      <c r="T6" s="154" t="s">
        <v>96</v>
      </c>
      <c r="U6" s="154" t="s">
        <v>95</v>
      </c>
      <c r="V6" s="154" t="s">
        <v>96</v>
      </c>
      <c r="W6" s="154" t="s">
        <v>95</v>
      </c>
      <c r="X6" s="154" t="s">
        <v>96</v>
      </c>
      <c r="Y6" s="154" t="s">
        <v>95</v>
      </c>
      <c r="Z6" s="154" t="s">
        <v>96</v>
      </c>
      <c r="AA6" s="154" t="s">
        <v>95</v>
      </c>
      <c r="AB6" s="154" t="s">
        <v>96</v>
      </c>
      <c r="AC6" s="233" t="s">
        <v>97</v>
      </c>
      <c r="AD6" s="154" t="s">
        <v>95</v>
      </c>
      <c r="AE6" s="154" t="s">
        <v>96</v>
      </c>
      <c r="AF6" s="154" t="s">
        <v>95</v>
      </c>
      <c r="AG6" s="154" t="s">
        <v>96</v>
      </c>
      <c r="AH6" s="154" t="s">
        <v>95</v>
      </c>
      <c r="AI6" s="154" t="s">
        <v>96</v>
      </c>
      <c r="AJ6" s="154" t="s">
        <v>95</v>
      </c>
      <c r="AK6" s="154" t="s">
        <v>96</v>
      </c>
      <c r="AL6" s="154" t="s">
        <v>95</v>
      </c>
      <c r="AM6" s="154" t="s">
        <v>96</v>
      </c>
      <c r="AN6" s="154" t="s">
        <v>95</v>
      </c>
      <c r="AO6" s="154" t="s">
        <v>96</v>
      </c>
      <c r="AP6" s="154" t="s">
        <v>95</v>
      </c>
      <c r="AQ6" s="154" t="s">
        <v>96</v>
      </c>
      <c r="AR6" s="154" t="s">
        <v>95</v>
      </c>
      <c r="AS6" s="154" t="s">
        <v>96</v>
      </c>
      <c r="AT6" s="154" t="s">
        <v>95</v>
      </c>
      <c r="AU6" s="154" t="s">
        <v>96</v>
      </c>
      <c r="AV6" s="154" t="s">
        <v>95</v>
      </c>
      <c r="AW6" s="154" t="s">
        <v>96</v>
      </c>
      <c r="AX6" s="154" t="s">
        <v>95</v>
      </c>
      <c r="AY6" s="154" t="s">
        <v>96</v>
      </c>
      <c r="AZ6" s="154" t="s">
        <v>95</v>
      </c>
      <c r="BA6" s="154" t="s">
        <v>96</v>
      </c>
      <c r="BB6" s="154" t="s">
        <v>95</v>
      </c>
      <c r="BC6" s="154" t="s">
        <v>96</v>
      </c>
      <c r="BD6" s="154" t="s">
        <v>95</v>
      </c>
      <c r="BE6" s="154" t="s">
        <v>96</v>
      </c>
      <c r="BF6" s="154" t="s">
        <v>95</v>
      </c>
      <c r="BG6" s="154" t="s">
        <v>96</v>
      </c>
      <c r="BH6" s="154" t="s">
        <v>95</v>
      </c>
      <c r="BI6" s="154" t="s">
        <v>96</v>
      </c>
      <c r="BJ6" s="154" t="s">
        <v>95</v>
      </c>
      <c r="BK6" s="154" t="s">
        <v>96</v>
      </c>
      <c r="BL6" s="154" t="s">
        <v>95</v>
      </c>
      <c r="BM6" s="154" t="s">
        <v>96</v>
      </c>
      <c r="BN6" s="154" t="s">
        <v>95</v>
      </c>
      <c r="BO6" s="154" t="s">
        <v>96</v>
      </c>
      <c r="BP6" s="154" t="s">
        <v>95</v>
      </c>
      <c r="BQ6" s="154" t="s">
        <v>96</v>
      </c>
      <c r="BR6" s="154" t="s">
        <v>95</v>
      </c>
      <c r="BS6" s="154" t="s">
        <v>96</v>
      </c>
      <c r="BT6" s="154" t="s">
        <v>95</v>
      </c>
      <c r="BU6" s="154" t="s">
        <v>96</v>
      </c>
      <c r="BV6" s="154" t="s">
        <v>95</v>
      </c>
      <c r="BW6" s="154" t="s">
        <v>96</v>
      </c>
      <c r="BX6" s="154" t="s">
        <v>95</v>
      </c>
      <c r="BY6" s="154" t="s">
        <v>96</v>
      </c>
      <c r="BZ6" s="154" t="s">
        <v>95</v>
      </c>
      <c r="CA6" s="154" t="s">
        <v>96</v>
      </c>
      <c r="CB6" s="154" t="s">
        <v>95</v>
      </c>
      <c r="CC6" s="154" t="s">
        <v>96</v>
      </c>
      <c r="CD6" s="154" t="s">
        <v>95</v>
      </c>
      <c r="CE6" s="154" t="s">
        <v>96</v>
      </c>
      <c r="CF6" s="154" t="s">
        <v>95</v>
      </c>
      <c r="CG6" s="154" t="s">
        <v>96</v>
      </c>
      <c r="CH6" s="154" t="s">
        <v>95</v>
      </c>
      <c r="CI6" s="154" t="s">
        <v>96</v>
      </c>
      <c r="CJ6" s="154" t="s">
        <v>95</v>
      </c>
      <c r="CK6" s="154" t="s">
        <v>96</v>
      </c>
      <c r="CL6" s="154" t="s">
        <v>95</v>
      </c>
      <c r="CM6" s="154" t="s">
        <v>96</v>
      </c>
      <c r="CN6" s="234" t="s">
        <v>98</v>
      </c>
      <c r="CO6" s="154" t="s">
        <v>95</v>
      </c>
      <c r="CP6" s="155" t="s">
        <v>96</v>
      </c>
      <c r="CQ6" s="154" t="s">
        <v>95</v>
      </c>
      <c r="CR6" s="155" t="s">
        <v>96</v>
      </c>
      <c r="CS6" s="154" t="s">
        <v>95</v>
      </c>
      <c r="CT6" s="155" t="s">
        <v>96</v>
      </c>
      <c r="CU6" s="154" t="s">
        <v>95</v>
      </c>
      <c r="CV6" s="155" t="s">
        <v>96</v>
      </c>
      <c r="CW6" s="154" t="s">
        <v>95</v>
      </c>
      <c r="CX6" s="155" t="s">
        <v>96</v>
      </c>
      <c r="CY6" s="154" t="s">
        <v>95</v>
      </c>
      <c r="CZ6" s="155" t="s">
        <v>96</v>
      </c>
      <c r="DA6" s="154" t="s">
        <v>95</v>
      </c>
      <c r="DB6" s="155" t="s">
        <v>96</v>
      </c>
      <c r="DC6" s="154" t="s">
        <v>95</v>
      </c>
      <c r="DD6" s="155" t="s">
        <v>96</v>
      </c>
      <c r="DE6" s="154" t="s">
        <v>95</v>
      </c>
      <c r="DF6" s="155" t="s">
        <v>96</v>
      </c>
      <c r="DG6" s="154" t="s">
        <v>95</v>
      </c>
      <c r="DH6" s="155" t="s">
        <v>96</v>
      </c>
      <c r="DI6" s="154" t="s">
        <v>95</v>
      </c>
      <c r="DJ6" s="155" t="s">
        <v>96</v>
      </c>
      <c r="DK6" s="227" t="s">
        <v>99</v>
      </c>
    </row>
    <row r="7" spans="1:119" ht="22.5" customHeight="1" thickBot="1">
      <c r="A7" s="5">
        <v>1</v>
      </c>
      <c r="B7" s="5" t="s">
        <v>12</v>
      </c>
      <c r="C7" s="260">
        <f>482995.49*0.8</f>
        <v>386396.392</v>
      </c>
      <c r="D7" s="151">
        <f>124885.08*0.8</f>
        <v>99908.06400000001</v>
      </c>
      <c r="E7" s="151">
        <f>105074.1*0.82</f>
        <v>86160.762</v>
      </c>
      <c r="F7" s="151">
        <f>27627.62*0.82</f>
        <v>22654.6484</v>
      </c>
      <c r="G7" s="152"/>
      <c r="H7" s="219">
        <f>558+864</f>
        <v>1422</v>
      </c>
      <c r="I7" s="152"/>
      <c r="J7" s="152"/>
      <c r="K7" s="152"/>
      <c r="L7" s="219">
        <v>8761.2</v>
      </c>
      <c r="M7" s="152"/>
      <c r="N7" s="152"/>
      <c r="O7" s="152"/>
      <c r="P7" s="219"/>
      <c r="Q7" s="152"/>
      <c r="R7" s="219"/>
      <c r="S7" s="152"/>
      <c r="T7" s="152"/>
      <c r="U7" s="152"/>
      <c r="V7" s="152"/>
      <c r="W7" s="152"/>
      <c r="X7" s="226"/>
      <c r="Y7" s="152"/>
      <c r="Z7" s="219"/>
      <c r="AA7" s="153">
        <f>G7+I7+K7+M7+O7+Q7+S7+U7+W7+Y7</f>
        <v>0</v>
      </c>
      <c r="AB7" s="153">
        <f>H7+J7+L7+N7+P7+R7+T7+V7+X7+Z7</f>
        <v>10183.2</v>
      </c>
      <c r="AC7" s="153">
        <f>AA7+AB7</f>
        <v>10183.2</v>
      </c>
      <c r="AD7" s="153"/>
      <c r="AE7" s="262">
        <f>-556.8-3842.9</f>
        <v>-4399.7</v>
      </c>
      <c r="AF7" s="52"/>
      <c r="AG7" s="244"/>
      <c r="AH7" s="66"/>
      <c r="AI7" s="63"/>
      <c r="AJ7" s="63"/>
      <c r="AK7" s="224"/>
      <c r="AL7" s="63"/>
      <c r="AM7" s="63"/>
      <c r="AN7" s="63"/>
      <c r="AO7" s="63">
        <v>552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224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5"/>
      <c r="CK7" s="173"/>
      <c r="CL7" s="46">
        <f>AF7+AH7+AJ7+AL7+AN7+AP7+AR7+AT7+AV7+AX7+AZ7+BB7+BD7+BF7+BH7+BJ7+BL7+BN7+BP7+BR7+BT7+BV7+BX7+BZ7+CB7+CD7+CF7+CH7+CJ7</f>
        <v>0</v>
      </c>
      <c r="CM7" s="46">
        <f>AG7+AI7+AK7+AM7+AO7+AQ7+AS7+AU7+AW7+AY7+BA7+BC7+BE7+BG7+BI7+BK7+BM7+BO7+BQ7+BS7+BU7+BW7+BY7+CA7+CC7+CE7+CG7+CI7+CK7</f>
        <v>552</v>
      </c>
      <c r="CN7" s="46">
        <f>CL7+CM7</f>
        <v>552</v>
      </c>
      <c r="CO7" s="48"/>
      <c r="CP7" s="214"/>
      <c r="CQ7" s="173"/>
      <c r="CR7" s="217"/>
      <c r="CS7" s="52"/>
      <c r="CT7" s="65">
        <v>461.44</v>
      </c>
      <c r="CU7" s="65"/>
      <c r="CV7" s="152">
        <v>3921.81</v>
      </c>
      <c r="CW7" s="65"/>
      <c r="CX7" s="128"/>
      <c r="CY7" s="48"/>
      <c r="CZ7" s="48"/>
      <c r="DA7" s="48"/>
      <c r="DB7" s="48"/>
      <c r="DC7" s="48"/>
      <c r="DD7" s="46"/>
      <c r="DE7" s="173"/>
      <c r="DF7" s="173"/>
      <c r="DG7" s="173"/>
      <c r="DH7" s="173"/>
      <c r="DI7" s="217">
        <f>C7+E7+AA7+AD7+CL7+CO7+CQ7+CS7+CU7+CW7+CY7+DA7+DC7+DE7+DG7</f>
        <v>472557.154</v>
      </c>
      <c r="DJ7" s="218">
        <f>D7+F7+AB7+AE7+CM7+CP7+CR7+CT7+CV7+CX7+CZ7+DB7+DD7+DF7+DH7</f>
        <v>133281.46240000005</v>
      </c>
      <c r="DK7" s="183">
        <f>DI7+DJ7</f>
        <v>605838.6164</v>
      </c>
      <c r="DM7" s="195"/>
      <c r="DO7" s="195"/>
    </row>
    <row r="8" spans="1:119" ht="38.25" thickBot="1">
      <c r="A8" s="6">
        <v>2</v>
      </c>
      <c r="B8" s="6" t="s">
        <v>93</v>
      </c>
      <c r="C8" s="203">
        <f>937202.87*0.8</f>
        <v>749762.2960000001</v>
      </c>
      <c r="D8" s="7">
        <f>90732.06*0.8</f>
        <v>72585.648</v>
      </c>
      <c r="E8" s="7">
        <f>199474.55*0.82</f>
        <v>163569.131</v>
      </c>
      <c r="F8" s="7">
        <f>24890.04*0.82</f>
        <v>20409.8328</v>
      </c>
      <c r="G8" s="8"/>
      <c r="H8" s="8">
        <f>310+432</f>
        <v>742</v>
      </c>
      <c r="I8" s="8"/>
      <c r="J8" s="8"/>
      <c r="K8" s="8"/>
      <c r="L8" s="219">
        <f>12707.1+1715.34</f>
        <v>14422.44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153">
        <f aca="true" t="shared" si="0" ref="AA8:AB14">G8+I8+K8+M8+O8+Q8+S8+U8+W8+Y8</f>
        <v>0</v>
      </c>
      <c r="AB8" s="153">
        <f t="shared" si="0"/>
        <v>15164.44</v>
      </c>
      <c r="AC8" s="153">
        <f aca="true" t="shared" si="1" ref="AC8:AC38">AA8+AB8</f>
        <v>15164.44</v>
      </c>
      <c r="AD8" s="9"/>
      <c r="AE8" s="213">
        <v>-4209</v>
      </c>
      <c r="AF8" s="50"/>
      <c r="AG8" s="7">
        <v>299.7</v>
      </c>
      <c r="AH8" s="32"/>
      <c r="AI8" s="10"/>
      <c r="AJ8" s="10"/>
      <c r="AK8" s="10"/>
      <c r="AL8" s="10"/>
      <c r="AM8" s="10"/>
      <c r="AN8" s="10"/>
      <c r="AO8" s="10">
        <v>3264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221">
        <v>3281</v>
      </c>
      <c r="CD8" s="10"/>
      <c r="CE8" s="10"/>
      <c r="CF8" s="10"/>
      <c r="CG8" s="63"/>
      <c r="CH8" s="10"/>
      <c r="CI8" s="10"/>
      <c r="CJ8" s="28"/>
      <c r="CK8" s="181"/>
      <c r="CL8" s="46">
        <f aca="true" t="shared" si="2" ref="CL8:CM38">AF8+AH8+AJ8+AL8+AN8+AP8+AR8+AT8+AV8+AX8+AZ8+BB8+BD8+BF8+BH8+BJ8+BL8+BN8+BP8+BR8+BT8+BV8+BX8+BZ8+CB8+CD8+CF8+CH8+CJ8</f>
        <v>0</v>
      </c>
      <c r="CM8" s="46">
        <f t="shared" si="2"/>
        <v>6844.7</v>
      </c>
      <c r="CN8" s="46">
        <f aca="true" t="shared" si="3" ref="CN8:CN40">CL8+CM8</f>
        <v>6844.7</v>
      </c>
      <c r="CO8" s="48"/>
      <c r="CP8" s="140"/>
      <c r="CQ8" s="181"/>
      <c r="CR8" s="216"/>
      <c r="CS8" s="50"/>
      <c r="CT8" s="28">
        <f>2867.75-924.25</f>
        <v>1943.5</v>
      </c>
      <c r="CU8" s="28"/>
      <c r="CV8" s="8">
        <v>4466.5</v>
      </c>
      <c r="CW8" s="28"/>
      <c r="CX8" s="127"/>
      <c r="CY8" s="39"/>
      <c r="CZ8" s="39"/>
      <c r="DA8" s="39"/>
      <c r="DB8" s="39"/>
      <c r="DC8" s="39"/>
      <c r="DD8" s="36"/>
      <c r="DE8" s="181"/>
      <c r="DF8" s="181"/>
      <c r="DG8" s="173"/>
      <c r="DH8" s="173"/>
      <c r="DI8" s="217">
        <f aca="true" t="shared" si="4" ref="DI8:DJ38">C8+E8+AA8+AD8+CL8+CO8+CQ8+CS8+CU8+CW8+CY8+DA8+DC8+DE8+DG8</f>
        <v>913331.4270000001</v>
      </c>
      <c r="DJ8" s="218">
        <f t="shared" si="4"/>
        <v>117205.6208</v>
      </c>
      <c r="DK8" s="183">
        <f aca="true" t="shared" si="5" ref="DK8:DK38">DI8+DJ8</f>
        <v>1030537.0478000002</v>
      </c>
      <c r="DM8" s="195"/>
      <c r="DO8" s="195"/>
    </row>
    <row r="9" spans="1:119" ht="19.5" thickBot="1">
      <c r="A9" s="6">
        <v>3</v>
      </c>
      <c r="B9" s="6" t="s">
        <v>13</v>
      </c>
      <c r="C9" s="203">
        <f>417843.32*0.8</f>
        <v>334274.656</v>
      </c>
      <c r="D9" s="7">
        <f>65313.57*0.8</f>
        <v>52250.856</v>
      </c>
      <c r="E9" s="7">
        <f>89131*0.82</f>
        <v>73087.42</v>
      </c>
      <c r="F9" s="7">
        <f>13912.84*0.82</f>
        <v>11408.5288</v>
      </c>
      <c r="G9" s="8"/>
      <c r="H9" s="8">
        <f>744+1152</f>
        <v>1896</v>
      </c>
      <c r="I9" s="8"/>
      <c r="J9" s="8"/>
      <c r="K9" s="8"/>
      <c r="L9" s="225">
        <v>6290.04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153">
        <f t="shared" si="0"/>
        <v>0</v>
      </c>
      <c r="AB9" s="153">
        <f t="shared" si="0"/>
        <v>8186.04</v>
      </c>
      <c r="AC9" s="153">
        <f t="shared" si="1"/>
        <v>8186.04</v>
      </c>
      <c r="AD9" s="9"/>
      <c r="AE9" s="127"/>
      <c r="AF9" s="50"/>
      <c r="AG9" s="10"/>
      <c r="AH9" s="32"/>
      <c r="AI9" s="10"/>
      <c r="AJ9" s="10"/>
      <c r="AK9" s="10"/>
      <c r="AL9" s="10"/>
      <c r="AM9" s="10"/>
      <c r="AN9" s="10"/>
      <c r="AO9" s="10">
        <v>378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222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222"/>
      <c r="CD9" s="10"/>
      <c r="CE9" s="10"/>
      <c r="CF9" s="10"/>
      <c r="CG9" s="63"/>
      <c r="CH9" s="10"/>
      <c r="CI9" s="10"/>
      <c r="CJ9" s="28"/>
      <c r="CK9" s="181"/>
      <c r="CL9" s="46">
        <f t="shared" si="2"/>
        <v>0</v>
      </c>
      <c r="CM9" s="46">
        <f t="shared" si="2"/>
        <v>378</v>
      </c>
      <c r="CN9" s="46">
        <f t="shared" si="3"/>
        <v>378</v>
      </c>
      <c r="CO9" s="48"/>
      <c r="CP9" s="140"/>
      <c r="CQ9" s="181"/>
      <c r="CR9" s="216"/>
      <c r="CS9" s="50"/>
      <c r="CT9" s="28"/>
      <c r="CU9" s="28"/>
      <c r="CV9" s="8">
        <v>812.42</v>
      </c>
      <c r="CW9" s="28"/>
      <c r="CX9" s="127"/>
      <c r="CY9" s="39"/>
      <c r="CZ9" s="39"/>
      <c r="DA9" s="39"/>
      <c r="DB9" s="39"/>
      <c r="DC9" s="39"/>
      <c r="DD9" s="36"/>
      <c r="DE9" s="181"/>
      <c r="DF9" s="181"/>
      <c r="DG9" s="173"/>
      <c r="DH9" s="173"/>
      <c r="DI9" s="217">
        <f t="shared" si="4"/>
        <v>407362.076</v>
      </c>
      <c r="DJ9" s="218">
        <f t="shared" si="4"/>
        <v>73035.84479999999</v>
      </c>
      <c r="DK9" s="183">
        <f t="shared" si="5"/>
        <v>480397.92079999996</v>
      </c>
      <c r="DM9" s="195"/>
      <c r="DO9" s="195"/>
    </row>
    <row r="10" spans="1:119" ht="19.5" thickBot="1">
      <c r="A10" s="6">
        <v>4</v>
      </c>
      <c r="B10" s="6" t="s">
        <v>14</v>
      </c>
      <c r="C10" s="203">
        <f>310363.24*0.8</f>
        <v>248290.592</v>
      </c>
      <c r="D10" s="7">
        <f>28861*0.8</f>
        <v>23088.800000000003</v>
      </c>
      <c r="E10" s="7">
        <f>68279.91*0.82</f>
        <v>55989.5262</v>
      </c>
      <c r="F10" s="7">
        <f>8261.11*0.82</f>
        <v>6774.1102</v>
      </c>
      <c r="G10" s="8"/>
      <c r="H10" s="8">
        <f>248+360</f>
        <v>608</v>
      </c>
      <c r="I10" s="8"/>
      <c r="J10" s="8"/>
      <c r="K10" s="8"/>
      <c r="L10" s="225">
        <f>1001.7+311.88</f>
        <v>1313.58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53">
        <f t="shared" si="0"/>
        <v>0</v>
      </c>
      <c r="AB10" s="153">
        <f t="shared" si="0"/>
        <v>1921.58</v>
      </c>
      <c r="AC10" s="153">
        <f t="shared" si="1"/>
        <v>1921.58</v>
      </c>
      <c r="AD10" s="9"/>
      <c r="AE10" s="213">
        <v>-2022.4</v>
      </c>
      <c r="AF10" s="50"/>
      <c r="AG10" s="10"/>
      <c r="AH10" s="32"/>
      <c r="AI10" s="10"/>
      <c r="AJ10" s="10"/>
      <c r="AK10" s="10"/>
      <c r="AL10" s="10"/>
      <c r="AM10" s="10"/>
      <c r="AN10" s="10"/>
      <c r="AO10" s="10">
        <v>894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222"/>
      <c r="CD10" s="10"/>
      <c r="CE10" s="10"/>
      <c r="CF10" s="10"/>
      <c r="CG10" s="63"/>
      <c r="CH10" s="10"/>
      <c r="CI10" s="10"/>
      <c r="CJ10" s="28"/>
      <c r="CK10" s="181"/>
      <c r="CL10" s="46">
        <f t="shared" si="2"/>
        <v>0</v>
      </c>
      <c r="CM10" s="46">
        <f t="shared" si="2"/>
        <v>894</v>
      </c>
      <c r="CN10" s="46">
        <f t="shared" si="3"/>
        <v>894</v>
      </c>
      <c r="CO10" s="48"/>
      <c r="CP10" s="140"/>
      <c r="CQ10" s="181"/>
      <c r="CR10" s="216">
        <v>-13764.51</v>
      </c>
      <c r="CS10" s="50"/>
      <c r="CT10" s="8">
        <v>-114.9</v>
      </c>
      <c r="CU10" s="28"/>
      <c r="CV10" s="8">
        <f>1407.6+1452.86</f>
        <v>2860.46</v>
      </c>
      <c r="CW10" s="28"/>
      <c r="CX10" s="127"/>
      <c r="CY10" s="39"/>
      <c r="CZ10" s="39"/>
      <c r="DA10" s="39"/>
      <c r="DB10" s="39"/>
      <c r="DC10" s="39"/>
      <c r="DD10" s="216">
        <v>768</v>
      </c>
      <c r="DE10" s="181"/>
      <c r="DF10" s="181"/>
      <c r="DG10" s="173"/>
      <c r="DH10" s="173"/>
      <c r="DI10" s="217">
        <f t="shared" si="4"/>
        <v>304280.1182</v>
      </c>
      <c r="DJ10" s="218">
        <f t="shared" si="4"/>
        <v>20405.140199999994</v>
      </c>
      <c r="DK10" s="183">
        <f t="shared" si="5"/>
        <v>324685.25840000005</v>
      </c>
      <c r="DM10" s="195"/>
      <c r="DO10" s="195"/>
    </row>
    <row r="11" spans="1:119" ht="19.5" thickBot="1">
      <c r="A11" s="6">
        <v>5</v>
      </c>
      <c r="B11" s="6" t="s">
        <v>8</v>
      </c>
      <c r="C11" s="203">
        <f>634747.66*0.8</f>
        <v>507798.128</v>
      </c>
      <c r="D11" s="7">
        <f>95581.36*0.8</f>
        <v>76465.088</v>
      </c>
      <c r="E11" s="7">
        <f>129754.31*0.82</f>
        <v>106398.5342</v>
      </c>
      <c r="F11" s="7">
        <f>24215.65*0.82</f>
        <v>19856.833</v>
      </c>
      <c r="G11" s="8"/>
      <c r="H11" s="8">
        <f>558+864</f>
        <v>1422</v>
      </c>
      <c r="I11" s="8"/>
      <c r="J11" s="8"/>
      <c r="K11" s="8"/>
      <c r="L11" s="225">
        <v>11356.62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53">
        <f t="shared" si="0"/>
        <v>0</v>
      </c>
      <c r="AB11" s="153">
        <f t="shared" si="0"/>
        <v>12778.62</v>
      </c>
      <c r="AC11" s="153">
        <f t="shared" si="1"/>
        <v>12778.62</v>
      </c>
      <c r="AD11" s="9"/>
      <c r="AE11" s="213">
        <v>-3492.6</v>
      </c>
      <c r="AF11" s="50"/>
      <c r="AG11" s="10"/>
      <c r="AH11" s="32"/>
      <c r="AI11" s="10"/>
      <c r="AJ11" s="10"/>
      <c r="AK11" s="10"/>
      <c r="AL11" s="10"/>
      <c r="AM11" s="10"/>
      <c r="AN11" s="10"/>
      <c r="AO11" s="10">
        <v>1242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221">
        <v>1749</v>
      </c>
      <c r="CD11" s="10"/>
      <c r="CE11" s="10"/>
      <c r="CF11" s="10"/>
      <c r="CG11" s="63"/>
      <c r="CH11" s="10"/>
      <c r="CI11" s="10"/>
      <c r="CJ11" s="28"/>
      <c r="CK11" s="181"/>
      <c r="CL11" s="46">
        <f t="shared" si="2"/>
        <v>0</v>
      </c>
      <c r="CM11" s="46">
        <f t="shared" si="2"/>
        <v>2991</v>
      </c>
      <c r="CN11" s="46">
        <f t="shared" si="3"/>
        <v>2991</v>
      </c>
      <c r="CO11" s="48"/>
      <c r="CP11" s="140">
        <v>480</v>
      </c>
      <c r="CQ11" s="181"/>
      <c r="CR11" s="216">
        <v>-8854.85</v>
      </c>
      <c r="CS11" s="50"/>
      <c r="CT11" s="28"/>
      <c r="CU11" s="28"/>
      <c r="CV11" s="8">
        <v>1047.78</v>
      </c>
      <c r="CW11" s="28"/>
      <c r="CX11" s="127"/>
      <c r="CY11" s="39"/>
      <c r="CZ11" s="39"/>
      <c r="DA11" s="39"/>
      <c r="DB11" s="39"/>
      <c r="DC11" s="39"/>
      <c r="DD11" s="36"/>
      <c r="DE11" s="181"/>
      <c r="DF11" s="181"/>
      <c r="DG11" s="173"/>
      <c r="DH11" s="173"/>
      <c r="DI11" s="217">
        <f t="shared" si="4"/>
        <v>614196.6622</v>
      </c>
      <c r="DJ11" s="218">
        <f t="shared" si="4"/>
        <v>101271.87099999998</v>
      </c>
      <c r="DK11" s="183">
        <f t="shared" si="5"/>
        <v>715468.5332</v>
      </c>
      <c r="DM11" s="195"/>
      <c r="DO11" s="195"/>
    </row>
    <row r="12" spans="1:119" ht="19.5" thickBot="1">
      <c r="A12" s="6">
        <v>6</v>
      </c>
      <c r="B12" s="6" t="s">
        <v>15</v>
      </c>
      <c r="C12" s="203">
        <f>319618.39*0.8</f>
        <v>255694.71200000003</v>
      </c>
      <c r="D12" s="7">
        <f>54051.76*0.8</f>
        <v>43241.408</v>
      </c>
      <c r="E12" s="7">
        <f>67482.76*0.82</f>
        <v>55335.86319999999</v>
      </c>
      <c r="F12" s="7">
        <f>11727.32*0.82</f>
        <v>9616.402399999999</v>
      </c>
      <c r="G12" s="8"/>
      <c r="H12" s="8">
        <f>310+648</f>
        <v>958</v>
      </c>
      <c r="I12" s="8"/>
      <c r="J12" s="8"/>
      <c r="K12" s="8"/>
      <c r="L12" s="225">
        <f>2741.22+2339.1</f>
        <v>5080.32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53">
        <f t="shared" si="0"/>
        <v>0</v>
      </c>
      <c r="AB12" s="153">
        <f t="shared" si="0"/>
        <v>6038.32</v>
      </c>
      <c r="AC12" s="153">
        <f t="shared" si="1"/>
        <v>6038.32</v>
      </c>
      <c r="AD12" s="9"/>
      <c r="AE12" s="127"/>
      <c r="AF12" s="50"/>
      <c r="AG12" s="10"/>
      <c r="AH12" s="32"/>
      <c r="AI12" s="10"/>
      <c r="AJ12" s="10"/>
      <c r="AK12" s="10"/>
      <c r="AL12" s="10"/>
      <c r="AM12" s="10"/>
      <c r="AN12" s="10"/>
      <c r="AO12" s="10">
        <v>1410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222"/>
      <c r="CD12" s="10"/>
      <c r="CE12" s="10"/>
      <c r="CF12" s="10"/>
      <c r="CG12" s="63"/>
      <c r="CH12" s="10"/>
      <c r="CI12" s="10"/>
      <c r="CJ12" s="28"/>
      <c r="CK12" s="181"/>
      <c r="CL12" s="46">
        <f t="shared" si="2"/>
        <v>0</v>
      </c>
      <c r="CM12" s="46">
        <f t="shared" si="2"/>
        <v>1410</v>
      </c>
      <c r="CN12" s="46">
        <f t="shared" si="3"/>
        <v>1410</v>
      </c>
      <c r="CO12" s="48"/>
      <c r="CP12" s="140"/>
      <c r="CQ12" s="181"/>
      <c r="CR12" s="216"/>
      <c r="CS12" s="50"/>
      <c r="CT12" s="28"/>
      <c r="CU12" s="28"/>
      <c r="CV12" s="8">
        <v>439.03</v>
      </c>
      <c r="CW12" s="28"/>
      <c r="CX12" s="127"/>
      <c r="CY12" s="39"/>
      <c r="CZ12" s="39"/>
      <c r="DA12" s="39"/>
      <c r="DB12" s="39"/>
      <c r="DC12" s="39"/>
      <c r="DD12" s="36"/>
      <c r="DE12" s="181"/>
      <c r="DF12" s="181"/>
      <c r="DG12" s="173"/>
      <c r="DH12" s="173"/>
      <c r="DI12" s="217">
        <f t="shared" si="4"/>
        <v>311030.5752</v>
      </c>
      <c r="DJ12" s="218">
        <f t="shared" si="4"/>
        <v>60745.1604</v>
      </c>
      <c r="DK12" s="183">
        <f t="shared" si="5"/>
        <v>371775.7356</v>
      </c>
      <c r="DM12" s="195"/>
      <c r="DO12" s="195"/>
    </row>
    <row r="13" spans="1:119" ht="19.5" thickBot="1">
      <c r="A13" s="6">
        <v>7</v>
      </c>
      <c r="B13" s="6" t="s">
        <v>16</v>
      </c>
      <c r="C13" s="203">
        <f>(711143.95+80649)*0.8</f>
        <v>633434.36</v>
      </c>
      <c r="D13" s="7">
        <f>111163.36*0.8</f>
        <v>88930.68800000001</v>
      </c>
      <c r="E13" s="7">
        <f>(151116.39+17742.78)*0.82</f>
        <v>138464.5194</v>
      </c>
      <c r="F13" s="7">
        <f>26595.58*0.82</f>
        <v>21808.3756</v>
      </c>
      <c r="G13" s="8"/>
      <c r="H13" s="8">
        <f>682+1440</f>
        <v>2122</v>
      </c>
      <c r="I13" s="8"/>
      <c r="J13" s="8"/>
      <c r="K13" s="8"/>
      <c r="L13" s="225">
        <f>12130.62+2650.98</f>
        <v>14781.6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53">
        <f t="shared" si="0"/>
        <v>0</v>
      </c>
      <c r="AB13" s="153">
        <f t="shared" si="0"/>
        <v>16903.6</v>
      </c>
      <c r="AC13" s="153">
        <f t="shared" si="1"/>
        <v>16903.6</v>
      </c>
      <c r="AD13" s="9"/>
      <c r="AE13" s="127"/>
      <c r="AF13" s="50"/>
      <c r="AG13" s="10"/>
      <c r="AH13" s="32"/>
      <c r="AI13" s="10"/>
      <c r="AJ13" s="10"/>
      <c r="AK13" s="10"/>
      <c r="AL13" s="10"/>
      <c r="AM13" s="10"/>
      <c r="AN13" s="10"/>
      <c r="AO13" s="10">
        <v>3144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222"/>
      <c r="CD13" s="10"/>
      <c r="CE13" s="10"/>
      <c r="CF13" s="10"/>
      <c r="CG13" s="63"/>
      <c r="CH13" s="10"/>
      <c r="CI13" s="10"/>
      <c r="CJ13" s="28"/>
      <c r="CK13" s="181"/>
      <c r="CL13" s="46">
        <f t="shared" si="2"/>
        <v>0</v>
      </c>
      <c r="CM13" s="46">
        <f t="shared" si="2"/>
        <v>3144</v>
      </c>
      <c r="CN13" s="46">
        <f t="shared" si="3"/>
        <v>3144</v>
      </c>
      <c r="CO13" s="48"/>
      <c r="CP13" s="140"/>
      <c r="CQ13" s="181"/>
      <c r="CR13" s="216"/>
      <c r="CS13" s="50"/>
      <c r="CT13" s="28">
        <v>1801.79</v>
      </c>
      <c r="CU13" s="28"/>
      <c r="CV13" s="8">
        <v>561.23</v>
      </c>
      <c r="CW13" s="28"/>
      <c r="CX13" s="127"/>
      <c r="CY13" s="39"/>
      <c r="CZ13" s="39"/>
      <c r="DA13" s="39"/>
      <c r="DB13" s="39"/>
      <c r="DC13" s="39"/>
      <c r="DD13" s="36"/>
      <c r="DE13" s="181"/>
      <c r="DF13" s="181"/>
      <c r="DG13" s="173"/>
      <c r="DH13" s="173"/>
      <c r="DI13" s="217">
        <f t="shared" si="4"/>
        <v>771898.8794</v>
      </c>
      <c r="DJ13" s="218">
        <f t="shared" si="4"/>
        <v>133149.68360000002</v>
      </c>
      <c r="DK13" s="183">
        <f t="shared" si="5"/>
        <v>905048.563</v>
      </c>
      <c r="DM13" s="195"/>
      <c r="DO13" s="195"/>
    </row>
    <row r="14" spans="1:119" ht="19.5" thickBot="1">
      <c r="A14" s="6">
        <v>8</v>
      </c>
      <c r="B14" s="6" t="s">
        <v>17</v>
      </c>
      <c r="C14" s="203">
        <f>179470.27*0.8</f>
        <v>143576.216</v>
      </c>
      <c r="D14" s="7">
        <f>68727.64*0.8</f>
        <v>54982.112</v>
      </c>
      <c r="E14" s="7">
        <f>39483.46*0.82</f>
        <v>32376.437199999997</v>
      </c>
      <c r="F14" s="7">
        <f>15120.08*0.82</f>
        <v>12398.4656</v>
      </c>
      <c r="G14" s="8"/>
      <c r="H14" s="8">
        <f>310+576</f>
        <v>886</v>
      </c>
      <c r="I14" s="8"/>
      <c r="J14" s="8"/>
      <c r="K14" s="8"/>
      <c r="L14" s="225">
        <v>3949.98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19"/>
      <c r="AA14" s="153">
        <f t="shared" si="0"/>
        <v>0</v>
      </c>
      <c r="AB14" s="153">
        <f t="shared" si="0"/>
        <v>4835.98</v>
      </c>
      <c r="AC14" s="153">
        <f t="shared" si="1"/>
        <v>4835.98</v>
      </c>
      <c r="AD14" s="9"/>
      <c r="AE14" s="213">
        <v>-12514.5</v>
      </c>
      <c r="AF14" s="50"/>
      <c r="AG14" s="10"/>
      <c r="AH14" s="32"/>
      <c r="AI14" s="10"/>
      <c r="AJ14" s="10"/>
      <c r="AK14" s="10"/>
      <c r="AL14" s="10"/>
      <c r="AM14" s="10"/>
      <c r="AN14" s="10"/>
      <c r="AO14" s="10">
        <v>1608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222"/>
      <c r="CD14" s="10"/>
      <c r="CE14" s="10"/>
      <c r="CF14" s="10"/>
      <c r="CG14" s="10"/>
      <c r="CH14" s="10"/>
      <c r="CI14" s="10"/>
      <c r="CJ14" s="28"/>
      <c r="CK14" s="181"/>
      <c r="CL14" s="46">
        <f t="shared" si="2"/>
        <v>0</v>
      </c>
      <c r="CM14" s="46">
        <f t="shared" si="2"/>
        <v>1608</v>
      </c>
      <c r="CN14" s="46">
        <f t="shared" si="3"/>
        <v>1608</v>
      </c>
      <c r="CO14" s="48"/>
      <c r="CP14" s="140"/>
      <c r="CQ14" s="181"/>
      <c r="CR14" s="216">
        <v>-9345.94</v>
      </c>
      <c r="CS14" s="50"/>
      <c r="CT14" s="8">
        <v>828</v>
      </c>
      <c r="CU14" s="28"/>
      <c r="CV14" s="8">
        <f>1679.17+2086.5</f>
        <v>3765.67</v>
      </c>
      <c r="CW14" s="28"/>
      <c r="CX14" s="127"/>
      <c r="CY14" s="39"/>
      <c r="CZ14" s="215">
        <v>315</v>
      </c>
      <c r="DA14" s="39"/>
      <c r="DB14" s="39"/>
      <c r="DC14" s="39"/>
      <c r="DD14" s="36">
        <v>2760</v>
      </c>
      <c r="DE14" s="181"/>
      <c r="DF14" s="181"/>
      <c r="DG14" s="173"/>
      <c r="DH14" s="173"/>
      <c r="DI14" s="217">
        <f t="shared" si="4"/>
        <v>175952.65319999997</v>
      </c>
      <c r="DJ14" s="218">
        <f t="shared" si="4"/>
        <v>59632.787599999996</v>
      </c>
      <c r="DK14" s="183">
        <f t="shared" si="5"/>
        <v>235585.44079999998</v>
      </c>
      <c r="DM14" s="195"/>
      <c r="DO14" s="195"/>
    </row>
    <row r="15" spans="1:119" ht="19.5" thickBot="1">
      <c r="A15" s="6">
        <v>9</v>
      </c>
      <c r="B15" s="6" t="s">
        <v>18</v>
      </c>
      <c r="C15" s="203">
        <f>394872.34*0.8</f>
        <v>315897.87200000003</v>
      </c>
      <c r="D15" s="7">
        <f>45947.2*0.8</f>
        <v>36757.76</v>
      </c>
      <c r="E15" s="7">
        <f>87612.63*0.82</f>
        <v>71842.3566</v>
      </c>
      <c r="F15" s="7">
        <f>10451.44*0.82</f>
        <v>8570.1808</v>
      </c>
      <c r="G15" s="8"/>
      <c r="H15" s="8">
        <f>248+576</f>
        <v>824</v>
      </c>
      <c r="I15" s="8"/>
      <c r="J15" s="8"/>
      <c r="K15" s="8"/>
      <c r="L15" s="225">
        <f>4767.84+1247.52</f>
        <v>6015.360000000001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53">
        <f>G15+I15+K15+M15+O15+Q15+S15+U15+W15+Y15</f>
        <v>0</v>
      </c>
      <c r="AB15" s="153">
        <f>H15+J15+L15+N15+P15+R15+T15+V15+X15+Z15</f>
        <v>6839.360000000001</v>
      </c>
      <c r="AC15" s="153">
        <f t="shared" si="1"/>
        <v>6839.360000000001</v>
      </c>
      <c r="AD15" s="9"/>
      <c r="AE15" s="127"/>
      <c r="AF15" s="50"/>
      <c r="AG15" s="10"/>
      <c r="AH15" s="32"/>
      <c r="AI15" s="10"/>
      <c r="AJ15" s="10"/>
      <c r="AK15" s="10"/>
      <c r="AL15" s="10"/>
      <c r="AM15" s="10"/>
      <c r="AN15" s="10"/>
      <c r="AO15" s="10">
        <v>714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28"/>
      <c r="CK15" s="181"/>
      <c r="CL15" s="46">
        <f t="shared" si="2"/>
        <v>0</v>
      </c>
      <c r="CM15" s="46">
        <f t="shared" si="2"/>
        <v>714</v>
      </c>
      <c r="CN15" s="46">
        <f t="shared" si="3"/>
        <v>714</v>
      </c>
      <c r="CO15" s="48"/>
      <c r="CP15" s="50"/>
      <c r="CQ15" s="181"/>
      <c r="CR15" s="216"/>
      <c r="CS15" s="50"/>
      <c r="CT15" s="28">
        <v>92.29</v>
      </c>
      <c r="CU15" s="28"/>
      <c r="CV15" s="8">
        <v>525.02</v>
      </c>
      <c r="CW15" s="28"/>
      <c r="CX15" s="127"/>
      <c r="CY15" s="39"/>
      <c r="CZ15" s="39"/>
      <c r="DA15" s="39"/>
      <c r="DB15" s="39"/>
      <c r="DC15" s="39"/>
      <c r="DD15" s="36"/>
      <c r="DE15" s="181"/>
      <c r="DF15" s="181"/>
      <c r="DG15" s="173"/>
      <c r="DH15" s="173"/>
      <c r="DI15" s="217">
        <f t="shared" si="4"/>
        <v>387740.22860000003</v>
      </c>
      <c r="DJ15" s="218">
        <f t="shared" si="4"/>
        <v>53498.6108</v>
      </c>
      <c r="DK15" s="183">
        <f t="shared" si="5"/>
        <v>441238.83940000006</v>
      </c>
      <c r="DM15" s="195"/>
      <c r="DO15" s="195"/>
    </row>
    <row r="16" spans="1:119" ht="19.5" thickBot="1">
      <c r="A16" s="6">
        <v>10</v>
      </c>
      <c r="B16" s="6" t="s">
        <v>9</v>
      </c>
      <c r="C16" s="203">
        <f>(1358630.59+3748.08)*0.8</f>
        <v>1089902.9360000002</v>
      </c>
      <c r="D16" s="7">
        <f>92315.95*0.8</f>
        <v>73852.76</v>
      </c>
      <c r="E16" s="7">
        <f>(282133.67+771.36)*0.82</f>
        <v>231982.12459999995</v>
      </c>
      <c r="F16" s="7">
        <f>20309.51*0.82</f>
        <v>16653.798199999997</v>
      </c>
      <c r="G16" s="8"/>
      <c r="H16" s="8">
        <f>620+1224</f>
        <v>1844</v>
      </c>
      <c r="I16" s="8"/>
      <c r="J16" s="8"/>
      <c r="K16" s="8"/>
      <c r="L16" s="225">
        <v>13377.12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53">
        <f aca="true" t="shared" si="6" ref="AA16:AB38">G16+I16+K16+M16+O16+Q16+S16+U16+W16+Y16</f>
        <v>0</v>
      </c>
      <c r="AB16" s="153">
        <f t="shared" si="6"/>
        <v>15221.12</v>
      </c>
      <c r="AC16" s="153">
        <f t="shared" si="1"/>
        <v>15221.12</v>
      </c>
      <c r="AD16" s="9"/>
      <c r="AE16" s="213">
        <v>-7411.6</v>
      </c>
      <c r="AF16" s="50"/>
      <c r="AG16" s="10"/>
      <c r="AH16" s="32"/>
      <c r="AI16" s="10"/>
      <c r="AJ16" s="10"/>
      <c r="AK16" s="10"/>
      <c r="AL16" s="10"/>
      <c r="AM16" s="10"/>
      <c r="AN16" s="10"/>
      <c r="AO16" s="10">
        <v>2406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28"/>
      <c r="CK16" s="181"/>
      <c r="CL16" s="46">
        <f t="shared" si="2"/>
        <v>0</v>
      </c>
      <c r="CM16" s="46">
        <f t="shared" si="2"/>
        <v>2406</v>
      </c>
      <c r="CN16" s="46">
        <f t="shared" si="3"/>
        <v>2406</v>
      </c>
      <c r="CO16" s="48"/>
      <c r="CP16" s="140"/>
      <c r="CQ16" s="181"/>
      <c r="CR16" s="216">
        <v>-3863.57</v>
      </c>
      <c r="CS16" s="50"/>
      <c r="CT16" s="28">
        <v>461.44</v>
      </c>
      <c r="CU16" s="28"/>
      <c r="CV16" s="8">
        <v>3507.68</v>
      </c>
      <c r="CW16" s="28"/>
      <c r="CX16" s="127"/>
      <c r="CY16" s="39"/>
      <c r="CZ16" s="215">
        <v>419.4</v>
      </c>
      <c r="DA16" s="39"/>
      <c r="DB16" s="39"/>
      <c r="DC16" s="39"/>
      <c r="DD16" s="36"/>
      <c r="DE16" s="181"/>
      <c r="DF16" s="181"/>
      <c r="DG16" s="173"/>
      <c r="DH16" s="173"/>
      <c r="DI16" s="217">
        <f t="shared" si="4"/>
        <v>1321885.0606000002</v>
      </c>
      <c r="DJ16" s="218">
        <f t="shared" si="4"/>
        <v>101247.02819999997</v>
      </c>
      <c r="DK16" s="183">
        <f t="shared" si="5"/>
        <v>1423132.0888000003</v>
      </c>
      <c r="DM16" s="195"/>
      <c r="DO16" s="195"/>
    </row>
    <row r="17" spans="1:119" ht="19.5" thickBot="1">
      <c r="A17" s="6">
        <v>11</v>
      </c>
      <c r="B17" s="6" t="s">
        <v>19</v>
      </c>
      <c r="C17" s="203">
        <f>523865.96*0.8</f>
        <v>419092.76800000004</v>
      </c>
      <c r="D17" s="7">
        <f>119495.61*0.8</f>
        <v>95596.48800000001</v>
      </c>
      <c r="E17" s="7">
        <f>115378.54*0.82</f>
        <v>94610.4028</v>
      </c>
      <c r="F17" s="7">
        <f>26817*0.82</f>
        <v>21989.94</v>
      </c>
      <c r="G17" s="8"/>
      <c r="H17" s="8">
        <f>248+504</f>
        <v>752</v>
      </c>
      <c r="I17" s="8"/>
      <c r="J17" s="8"/>
      <c r="K17" s="8"/>
      <c r="L17" s="225">
        <f>3004.8+1247.52</f>
        <v>4252.32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53">
        <f t="shared" si="6"/>
        <v>0</v>
      </c>
      <c r="AB17" s="153">
        <f t="shared" si="6"/>
        <v>5004.32</v>
      </c>
      <c r="AC17" s="153">
        <f t="shared" si="1"/>
        <v>5004.32</v>
      </c>
      <c r="AD17" s="9"/>
      <c r="AE17" s="213">
        <v>-11474.2</v>
      </c>
      <c r="AF17" s="50"/>
      <c r="AG17" s="7">
        <v>400</v>
      </c>
      <c r="AH17" s="32"/>
      <c r="AI17" s="10"/>
      <c r="AJ17" s="10"/>
      <c r="AK17" s="10"/>
      <c r="AL17" s="10"/>
      <c r="AM17" s="10"/>
      <c r="AN17" s="10"/>
      <c r="AO17" s="10">
        <v>1704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28"/>
      <c r="CK17" s="181"/>
      <c r="CL17" s="46">
        <f t="shared" si="2"/>
        <v>0</v>
      </c>
      <c r="CM17" s="46">
        <f t="shared" si="2"/>
        <v>2104</v>
      </c>
      <c r="CN17" s="46">
        <f t="shared" si="3"/>
        <v>2104</v>
      </c>
      <c r="CO17" s="48"/>
      <c r="CP17" s="140"/>
      <c r="CQ17" s="181"/>
      <c r="CR17" s="216">
        <v>-1955.03</v>
      </c>
      <c r="CS17" s="50"/>
      <c r="CT17" s="28">
        <v>126.89</v>
      </c>
      <c r="CU17" s="28"/>
      <c r="CV17" s="8">
        <f>579.32+543.12</f>
        <v>1122.44</v>
      </c>
      <c r="CW17" s="28"/>
      <c r="CX17" s="127"/>
      <c r="CY17" s="39"/>
      <c r="CZ17" s="39"/>
      <c r="DA17" s="39"/>
      <c r="DB17" s="39"/>
      <c r="DC17" s="39"/>
      <c r="DD17" s="216"/>
      <c r="DE17" s="181"/>
      <c r="DF17" s="181"/>
      <c r="DG17" s="173"/>
      <c r="DH17" s="173"/>
      <c r="DI17" s="217">
        <f t="shared" si="4"/>
        <v>513703.1708</v>
      </c>
      <c r="DJ17" s="218">
        <f t="shared" si="4"/>
        <v>112514.84800000003</v>
      </c>
      <c r="DK17" s="183">
        <f t="shared" si="5"/>
        <v>626218.0188000001</v>
      </c>
      <c r="DM17" s="195"/>
      <c r="DO17" s="195"/>
    </row>
    <row r="18" spans="1:119" ht="19.5" thickBot="1">
      <c r="A18" s="6">
        <v>12</v>
      </c>
      <c r="B18" s="6" t="s">
        <v>20</v>
      </c>
      <c r="C18" s="203">
        <f>(289919.3+13506.31)*0.8</f>
        <v>242740.488</v>
      </c>
      <c r="D18" s="7">
        <f>73144.88*0.8</f>
        <v>58515.90400000001</v>
      </c>
      <c r="E18" s="7">
        <f>(63782.25+2971.39)*0.82</f>
        <v>54737.9848</v>
      </c>
      <c r="F18" s="7">
        <f>16569.27*0.82</f>
        <v>13586.8014</v>
      </c>
      <c r="G18" s="8"/>
      <c r="H18" s="8">
        <f>248+792</f>
        <v>1040</v>
      </c>
      <c r="I18" s="8"/>
      <c r="J18" s="8"/>
      <c r="K18" s="8"/>
      <c r="L18" s="225">
        <v>4285.08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53">
        <f t="shared" si="6"/>
        <v>0</v>
      </c>
      <c r="AB18" s="153">
        <f t="shared" si="6"/>
        <v>5325.08</v>
      </c>
      <c r="AC18" s="153">
        <f t="shared" si="1"/>
        <v>5325.08</v>
      </c>
      <c r="AD18" s="9"/>
      <c r="AE18" s="213">
        <v>-7648</v>
      </c>
      <c r="AF18" s="50"/>
      <c r="AG18" s="10"/>
      <c r="AH18" s="32"/>
      <c r="AI18" s="10"/>
      <c r="AJ18" s="10"/>
      <c r="AK18" s="10"/>
      <c r="AL18" s="10"/>
      <c r="AM18" s="10"/>
      <c r="AN18" s="10"/>
      <c r="AO18" s="10">
        <v>1254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222"/>
      <c r="CD18" s="10"/>
      <c r="CE18" s="10"/>
      <c r="CF18" s="10"/>
      <c r="CG18" s="10"/>
      <c r="CH18" s="10"/>
      <c r="CI18" s="10"/>
      <c r="CJ18" s="28"/>
      <c r="CK18" s="181"/>
      <c r="CL18" s="46">
        <f t="shared" si="2"/>
        <v>0</v>
      </c>
      <c r="CM18" s="46">
        <f t="shared" si="2"/>
        <v>1254</v>
      </c>
      <c r="CN18" s="46">
        <f t="shared" si="3"/>
        <v>1254</v>
      </c>
      <c r="CO18" s="48"/>
      <c r="CP18" s="140"/>
      <c r="CQ18" s="181"/>
      <c r="CR18" s="216"/>
      <c r="CS18" s="50"/>
      <c r="CT18" s="28"/>
      <c r="CU18" s="28"/>
      <c r="CV18" s="8">
        <f>2783.52+4345</f>
        <v>7128.52</v>
      </c>
      <c r="CW18" s="28"/>
      <c r="CX18" s="127"/>
      <c r="CY18" s="39"/>
      <c r="CZ18" s="215"/>
      <c r="DA18" s="39"/>
      <c r="DB18" s="39"/>
      <c r="DC18" s="39"/>
      <c r="DD18" s="216"/>
      <c r="DE18" s="181"/>
      <c r="DF18" s="181"/>
      <c r="DG18" s="173"/>
      <c r="DH18" s="173"/>
      <c r="DI18" s="217">
        <f t="shared" si="4"/>
        <v>297478.4728</v>
      </c>
      <c r="DJ18" s="218">
        <f t="shared" si="4"/>
        <v>78162.30540000001</v>
      </c>
      <c r="DK18" s="183">
        <f t="shared" si="5"/>
        <v>375640.7782</v>
      </c>
      <c r="DM18" s="195"/>
      <c r="DO18" s="195"/>
    </row>
    <row r="19" spans="1:119" ht="19.5" thickBot="1">
      <c r="A19" s="6">
        <v>13</v>
      </c>
      <c r="B19" s="6" t="s">
        <v>21</v>
      </c>
      <c r="C19" s="203">
        <f>594158.98*0.8</f>
        <v>475327.184</v>
      </c>
      <c r="D19" s="7">
        <f>65894.4*0.8</f>
        <v>52715.52</v>
      </c>
      <c r="E19" s="7">
        <f>125406.74*0.82</f>
        <v>102833.52679999999</v>
      </c>
      <c r="F19" s="7">
        <f>14763.69*0.82</f>
        <v>12106.2258</v>
      </c>
      <c r="G19" s="8"/>
      <c r="H19" s="8">
        <f>248+576</f>
        <v>824</v>
      </c>
      <c r="I19" s="8"/>
      <c r="J19" s="8"/>
      <c r="K19" s="8"/>
      <c r="L19" s="225">
        <f>3492.06+779.7</f>
        <v>4271.76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53">
        <f t="shared" si="6"/>
        <v>0</v>
      </c>
      <c r="AB19" s="153">
        <f t="shared" si="6"/>
        <v>5095.76</v>
      </c>
      <c r="AC19" s="153">
        <f t="shared" si="1"/>
        <v>5095.76</v>
      </c>
      <c r="AD19" s="9"/>
      <c r="AE19" s="213">
        <v>-9114.9</v>
      </c>
      <c r="AF19" s="50"/>
      <c r="AG19" s="7">
        <v>400</v>
      </c>
      <c r="AH19" s="32"/>
      <c r="AI19" s="10"/>
      <c r="AJ19" s="10"/>
      <c r="AK19" s="10"/>
      <c r="AL19" s="10"/>
      <c r="AM19" s="10"/>
      <c r="AN19" s="10"/>
      <c r="AO19" s="10">
        <v>966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28"/>
      <c r="CK19" s="181"/>
      <c r="CL19" s="46">
        <f t="shared" si="2"/>
        <v>0</v>
      </c>
      <c r="CM19" s="46">
        <f t="shared" si="2"/>
        <v>1366</v>
      </c>
      <c r="CN19" s="46">
        <f t="shared" si="3"/>
        <v>1366</v>
      </c>
      <c r="CO19" s="48"/>
      <c r="CP19" s="140">
        <v>456</v>
      </c>
      <c r="CQ19" s="181"/>
      <c r="CR19" s="259"/>
      <c r="CS19" s="50"/>
      <c r="CT19" s="28"/>
      <c r="CU19" s="28"/>
      <c r="CV19" s="8">
        <f>577.07+792.06</f>
        <v>1369.13</v>
      </c>
      <c r="CW19" s="28"/>
      <c r="CX19" s="127"/>
      <c r="CY19" s="39"/>
      <c r="CZ19" s="39"/>
      <c r="DA19" s="39"/>
      <c r="DB19" s="39"/>
      <c r="DC19" s="39"/>
      <c r="DD19" s="216"/>
      <c r="DE19" s="181"/>
      <c r="DF19" s="181"/>
      <c r="DG19" s="173"/>
      <c r="DH19" s="173"/>
      <c r="DI19" s="217">
        <f t="shared" si="4"/>
        <v>578160.7108</v>
      </c>
      <c r="DJ19" s="218">
        <f t="shared" si="4"/>
        <v>63993.735799999995</v>
      </c>
      <c r="DK19" s="183">
        <f t="shared" si="5"/>
        <v>642154.4466</v>
      </c>
      <c r="DM19" s="195"/>
      <c r="DO19" s="195"/>
    </row>
    <row r="20" spans="1:119" ht="38.25" thickBot="1">
      <c r="A20" s="6">
        <v>14</v>
      </c>
      <c r="B20" s="6" t="s">
        <v>75</v>
      </c>
      <c r="C20" s="203">
        <f>264310.66*0.8</f>
        <v>211448.528</v>
      </c>
      <c r="D20" s="7">
        <f>67753.62*0.8</f>
        <v>54202.896</v>
      </c>
      <c r="E20" s="7">
        <f>63829.61*0.82</f>
        <v>52340.280199999994</v>
      </c>
      <c r="F20" s="7">
        <f>19442.63*0.82</f>
        <v>15942.9566</v>
      </c>
      <c r="G20" s="8"/>
      <c r="H20" s="8">
        <f>310+576</f>
        <v>886</v>
      </c>
      <c r="I20" s="8"/>
      <c r="J20" s="8"/>
      <c r="K20" s="8"/>
      <c r="L20" s="225">
        <f>4083.72+1247.52</f>
        <v>5331.24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53">
        <f t="shared" si="6"/>
        <v>0</v>
      </c>
      <c r="AB20" s="153">
        <f t="shared" si="6"/>
        <v>6217.24</v>
      </c>
      <c r="AC20" s="153">
        <f t="shared" si="1"/>
        <v>6217.24</v>
      </c>
      <c r="AD20" s="9"/>
      <c r="AE20" s="213">
        <v>-2041.9</v>
      </c>
      <c r="AF20" s="50"/>
      <c r="AG20" s="7">
        <v>400</v>
      </c>
      <c r="AH20" s="32"/>
      <c r="AI20" s="10"/>
      <c r="AJ20" s="10"/>
      <c r="AK20" s="10"/>
      <c r="AL20" s="10"/>
      <c r="AM20" s="10"/>
      <c r="AN20" s="10"/>
      <c r="AO20" s="10">
        <v>1494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7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28"/>
      <c r="CK20" s="181"/>
      <c r="CL20" s="46">
        <f t="shared" si="2"/>
        <v>0</v>
      </c>
      <c r="CM20" s="46">
        <f t="shared" si="2"/>
        <v>1894</v>
      </c>
      <c r="CN20" s="46">
        <f t="shared" si="3"/>
        <v>1894</v>
      </c>
      <c r="CO20" s="48"/>
      <c r="CP20" s="140">
        <v>208</v>
      </c>
      <c r="CQ20" s="181"/>
      <c r="CR20" s="216"/>
      <c r="CS20" s="50"/>
      <c r="CT20" s="28"/>
      <c r="CU20" s="28"/>
      <c r="CV20" s="8">
        <f>699.27+918.79</f>
        <v>1618.06</v>
      </c>
      <c r="CW20" s="28"/>
      <c r="CX20" s="127"/>
      <c r="CY20" s="39"/>
      <c r="CZ20" s="215"/>
      <c r="DA20" s="39"/>
      <c r="DB20" s="39"/>
      <c r="DC20" s="39"/>
      <c r="DD20" s="216"/>
      <c r="DE20" s="181"/>
      <c r="DF20" s="181"/>
      <c r="DG20" s="173"/>
      <c r="DH20" s="173"/>
      <c r="DI20" s="217">
        <f t="shared" si="4"/>
        <v>263788.80819999997</v>
      </c>
      <c r="DJ20" s="218">
        <f t="shared" si="4"/>
        <v>78041.2526</v>
      </c>
      <c r="DK20" s="183">
        <f t="shared" si="5"/>
        <v>341830.0608</v>
      </c>
      <c r="DM20" s="195"/>
      <c r="DO20" s="195"/>
    </row>
    <row r="21" spans="1:119" ht="19.5" thickBot="1">
      <c r="A21" s="6">
        <v>15</v>
      </c>
      <c r="B21" s="6" t="s">
        <v>22</v>
      </c>
      <c r="C21" s="203">
        <f>313387.61*0.8</f>
        <v>250710.088</v>
      </c>
      <c r="D21" s="7">
        <f>58670.38*0.8</f>
        <v>46936.304000000004</v>
      </c>
      <c r="E21" s="7">
        <f>67119.25*0.82</f>
        <v>55037.784999999996</v>
      </c>
      <c r="F21" s="7">
        <f>13275.94*0.82</f>
        <v>10886.2708</v>
      </c>
      <c r="G21" s="8"/>
      <c r="H21" s="8">
        <f>248+648</f>
        <v>896</v>
      </c>
      <c r="I21" s="8"/>
      <c r="J21" s="8"/>
      <c r="K21" s="8"/>
      <c r="L21" s="225">
        <f>5467.92+1247.52</f>
        <v>6715.4400000000005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53">
        <f t="shared" si="6"/>
        <v>0</v>
      </c>
      <c r="AB21" s="153">
        <f t="shared" si="6"/>
        <v>7611.4400000000005</v>
      </c>
      <c r="AC21" s="153">
        <f t="shared" si="1"/>
        <v>7611.4400000000005</v>
      </c>
      <c r="AD21" s="9"/>
      <c r="AE21" s="127"/>
      <c r="AF21" s="50"/>
      <c r="AG21" s="10">
        <v>-0.3</v>
      </c>
      <c r="AH21" s="32"/>
      <c r="AI21" s="10"/>
      <c r="AJ21" s="10"/>
      <c r="AK21" s="10"/>
      <c r="AL21" s="10"/>
      <c r="AM21" s="10"/>
      <c r="AN21" s="10"/>
      <c r="AO21" s="10">
        <v>714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28"/>
      <c r="CK21" s="181"/>
      <c r="CL21" s="46">
        <f t="shared" si="2"/>
        <v>0</v>
      </c>
      <c r="CM21" s="46">
        <f t="shared" si="2"/>
        <v>713.7</v>
      </c>
      <c r="CN21" s="46">
        <f t="shared" si="3"/>
        <v>713.7</v>
      </c>
      <c r="CO21" s="48"/>
      <c r="CP21" s="50">
        <v>480</v>
      </c>
      <c r="CQ21" s="181"/>
      <c r="CR21" s="216"/>
      <c r="CS21" s="50"/>
      <c r="CT21" s="28">
        <v>69.22</v>
      </c>
      <c r="CU21" s="28"/>
      <c r="CV21" s="8">
        <v>149.36</v>
      </c>
      <c r="CW21" s="28"/>
      <c r="CX21" s="127"/>
      <c r="CY21" s="39"/>
      <c r="CZ21" s="39"/>
      <c r="DA21" s="39"/>
      <c r="DB21" s="39"/>
      <c r="DC21" s="39"/>
      <c r="DD21" s="36"/>
      <c r="DE21" s="181"/>
      <c r="DF21" s="181"/>
      <c r="DG21" s="173"/>
      <c r="DH21" s="173"/>
      <c r="DI21" s="217">
        <f t="shared" si="4"/>
        <v>305747.87299999996</v>
      </c>
      <c r="DJ21" s="218">
        <f t="shared" si="4"/>
        <v>66846.2948</v>
      </c>
      <c r="DK21" s="183">
        <f t="shared" si="5"/>
        <v>372594.16779999994</v>
      </c>
      <c r="DM21" s="195"/>
      <c r="DO21" s="195"/>
    </row>
    <row r="22" spans="1:119" ht="19.5" thickBot="1">
      <c r="A22" s="6">
        <v>16</v>
      </c>
      <c r="B22" s="6" t="s">
        <v>23</v>
      </c>
      <c r="C22" s="203">
        <f>240062.6*0.8</f>
        <v>192050.08000000002</v>
      </c>
      <c r="D22" s="7">
        <f>79632*0.8</f>
        <v>63705.600000000006</v>
      </c>
      <c r="E22" s="7">
        <f>52813.77*0.82</f>
        <v>43307.291399999995</v>
      </c>
      <c r="F22" s="7">
        <f>16077.47*0.82</f>
        <v>13183.525399999999</v>
      </c>
      <c r="G22" s="8"/>
      <c r="H22" s="8">
        <f>248+504</f>
        <v>752</v>
      </c>
      <c r="I22" s="8"/>
      <c r="J22" s="8"/>
      <c r="K22" s="8"/>
      <c r="L22" s="225">
        <f>1930.02+1091.58</f>
        <v>3021.6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153">
        <f t="shared" si="6"/>
        <v>0</v>
      </c>
      <c r="AB22" s="153">
        <f t="shared" si="6"/>
        <v>3773.6</v>
      </c>
      <c r="AC22" s="153">
        <f t="shared" si="1"/>
        <v>3773.6</v>
      </c>
      <c r="AD22" s="9"/>
      <c r="AE22" s="213"/>
      <c r="AF22" s="50"/>
      <c r="AG22" s="7">
        <v>400</v>
      </c>
      <c r="AH22" s="32"/>
      <c r="AI22" s="10"/>
      <c r="AJ22" s="10"/>
      <c r="AK22" s="10"/>
      <c r="AL22" s="10"/>
      <c r="AM22" s="10"/>
      <c r="AN22" s="10"/>
      <c r="AO22" s="10">
        <v>1782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28"/>
      <c r="CK22" s="181"/>
      <c r="CL22" s="46">
        <f t="shared" si="2"/>
        <v>0</v>
      </c>
      <c r="CM22" s="46">
        <f t="shared" si="2"/>
        <v>2182</v>
      </c>
      <c r="CN22" s="46">
        <f t="shared" si="3"/>
        <v>2182</v>
      </c>
      <c r="CO22" s="48"/>
      <c r="CP22" s="50"/>
      <c r="CQ22" s="181"/>
      <c r="CR22" s="216"/>
      <c r="CS22" s="140"/>
      <c r="CT22" s="8"/>
      <c r="CU22" s="28"/>
      <c r="CV22" s="8">
        <f>359.82+6490.34</f>
        <v>6850.16</v>
      </c>
      <c r="CW22" s="28"/>
      <c r="CX22" s="127"/>
      <c r="CY22" s="39"/>
      <c r="CZ22" s="39"/>
      <c r="DA22" s="39"/>
      <c r="DB22" s="39"/>
      <c r="DC22" s="39"/>
      <c r="DD22" s="216"/>
      <c r="DE22" s="181"/>
      <c r="DF22" s="181"/>
      <c r="DG22" s="173"/>
      <c r="DH22" s="173"/>
      <c r="DI22" s="217">
        <f t="shared" si="4"/>
        <v>235357.3714</v>
      </c>
      <c r="DJ22" s="218">
        <f t="shared" si="4"/>
        <v>89694.88540000001</v>
      </c>
      <c r="DK22" s="183">
        <f t="shared" si="5"/>
        <v>325052.25680000003</v>
      </c>
      <c r="DM22" s="195"/>
      <c r="DO22" s="195"/>
    </row>
    <row r="23" spans="1:119" ht="19.5" thickBot="1">
      <c r="A23" s="6">
        <v>17</v>
      </c>
      <c r="B23" s="6" t="s">
        <v>24</v>
      </c>
      <c r="C23" s="203">
        <f>257994.52*0.8</f>
        <v>206395.616</v>
      </c>
      <c r="D23" s="7">
        <f>61539.72*0.8</f>
        <v>49231.776000000005</v>
      </c>
      <c r="E23" s="7">
        <f>57096.36*0.82</f>
        <v>46819.015199999994</v>
      </c>
      <c r="F23" s="7">
        <f>13933.21*0.82</f>
        <v>11425.232199999999</v>
      </c>
      <c r="G23" s="8"/>
      <c r="H23" s="8">
        <f>248+504</f>
        <v>752</v>
      </c>
      <c r="I23" s="8"/>
      <c r="J23" s="8"/>
      <c r="K23" s="8"/>
      <c r="L23" s="225">
        <f>2808+1247.52</f>
        <v>4055.52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53">
        <f t="shared" si="6"/>
        <v>0</v>
      </c>
      <c r="AB23" s="153">
        <f t="shared" si="6"/>
        <v>4807.52</v>
      </c>
      <c r="AC23" s="153">
        <f t="shared" si="1"/>
        <v>4807.52</v>
      </c>
      <c r="AD23" s="9"/>
      <c r="AE23" s="213">
        <v>-8525.3</v>
      </c>
      <c r="AF23" s="50"/>
      <c r="AG23" s="10">
        <v>-7.7</v>
      </c>
      <c r="AH23" s="32"/>
      <c r="AI23" s="10"/>
      <c r="AJ23" s="10"/>
      <c r="AK23" s="10"/>
      <c r="AL23" s="10"/>
      <c r="AM23" s="10"/>
      <c r="AN23" s="10"/>
      <c r="AO23" s="10">
        <v>558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28"/>
      <c r="CK23" s="181"/>
      <c r="CL23" s="46">
        <f t="shared" si="2"/>
        <v>0</v>
      </c>
      <c r="CM23" s="46">
        <f t="shared" si="2"/>
        <v>550.3</v>
      </c>
      <c r="CN23" s="46">
        <f t="shared" si="3"/>
        <v>550.3</v>
      </c>
      <c r="CO23" s="48"/>
      <c r="CP23" s="140"/>
      <c r="CQ23" s="181"/>
      <c r="CR23" s="216"/>
      <c r="CS23" s="140"/>
      <c r="CT23" s="28"/>
      <c r="CU23" s="28"/>
      <c r="CV23" s="8">
        <v>1004.78</v>
      </c>
      <c r="CW23" s="28"/>
      <c r="CX23" s="127"/>
      <c r="CY23" s="39"/>
      <c r="CZ23" s="39"/>
      <c r="DA23" s="39"/>
      <c r="DB23" s="39"/>
      <c r="DC23" s="39"/>
      <c r="DD23" s="36">
        <v>4141.75</v>
      </c>
      <c r="DE23" s="181"/>
      <c r="DF23" s="181"/>
      <c r="DG23" s="173"/>
      <c r="DH23" s="173"/>
      <c r="DI23" s="217">
        <f t="shared" si="4"/>
        <v>253214.6312</v>
      </c>
      <c r="DJ23" s="218">
        <f t="shared" si="4"/>
        <v>62636.0582</v>
      </c>
      <c r="DK23" s="183">
        <f t="shared" si="5"/>
        <v>315850.68940000003</v>
      </c>
      <c r="DM23" s="195"/>
      <c r="DO23" s="195"/>
    </row>
    <row r="24" spans="1:119" ht="36" customHeight="1" thickBot="1">
      <c r="A24" s="6">
        <v>18</v>
      </c>
      <c r="B24" s="6" t="s">
        <v>25</v>
      </c>
      <c r="C24" s="203">
        <f>261667.8*0.8</f>
        <v>209334.24</v>
      </c>
      <c r="D24" s="7">
        <f>79616.36*0.8</f>
        <v>63693.088</v>
      </c>
      <c r="E24" s="7">
        <f>57834.4*0.82</f>
        <v>47424.208</v>
      </c>
      <c r="F24" s="7">
        <f>17811.48*0.82</f>
        <v>14605.413599999998</v>
      </c>
      <c r="G24" s="8"/>
      <c r="H24" s="8">
        <f>248+576</f>
        <v>824</v>
      </c>
      <c r="I24" s="8"/>
      <c r="J24" s="8"/>
      <c r="K24" s="8"/>
      <c r="L24" s="225">
        <v>5510.04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153">
        <f t="shared" si="6"/>
        <v>0</v>
      </c>
      <c r="AB24" s="153">
        <f t="shared" si="6"/>
        <v>6334.04</v>
      </c>
      <c r="AC24" s="153">
        <f t="shared" si="1"/>
        <v>6334.04</v>
      </c>
      <c r="AD24" s="9"/>
      <c r="AE24" s="213">
        <v>-9684.6</v>
      </c>
      <c r="AF24" s="50"/>
      <c r="AG24" s="10"/>
      <c r="AH24" s="32"/>
      <c r="AI24" s="10"/>
      <c r="AJ24" s="10"/>
      <c r="AK24" s="10"/>
      <c r="AL24" s="10"/>
      <c r="AM24" s="10"/>
      <c r="AN24" s="10"/>
      <c r="AO24" s="10">
        <v>1074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28"/>
      <c r="CK24" s="181"/>
      <c r="CL24" s="46">
        <f t="shared" si="2"/>
        <v>0</v>
      </c>
      <c r="CM24" s="46">
        <f t="shared" si="2"/>
        <v>1074</v>
      </c>
      <c r="CN24" s="46">
        <f t="shared" si="3"/>
        <v>1074</v>
      </c>
      <c r="CO24" s="48"/>
      <c r="CP24" s="140"/>
      <c r="CQ24" s="181"/>
      <c r="CR24" s="216"/>
      <c r="CS24" s="50"/>
      <c r="CT24" s="28"/>
      <c r="CU24" s="28"/>
      <c r="CV24" s="8">
        <f>977.62+1280.87</f>
        <v>2258.49</v>
      </c>
      <c r="CW24" s="28"/>
      <c r="CX24" s="127"/>
      <c r="CY24" s="39"/>
      <c r="CZ24" s="215"/>
      <c r="DA24" s="39"/>
      <c r="DB24" s="39"/>
      <c r="DC24" s="39"/>
      <c r="DD24" s="216">
        <v>2144</v>
      </c>
      <c r="DE24" s="181"/>
      <c r="DF24" s="181"/>
      <c r="DG24" s="173"/>
      <c r="DH24" s="173"/>
      <c r="DI24" s="217">
        <f t="shared" si="4"/>
        <v>256758.44799999997</v>
      </c>
      <c r="DJ24" s="218">
        <f t="shared" si="4"/>
        <v>80424.4316</v>
      </c>
      <c r="DK24" s="183">
        <f t="shared" si="5"/>
        <v>337182.8796</v>
      </c>
      <c r="DM24" s="195"/>
      <c r="DO24" s="195"/>
    </row>
    <row r="25" spans="1:119" ht="32.25" customHeight="1" thickBot="1">
      <c r="A25" s="6">
        <v>19</v>
      </c>
      <c r="B25" s="6" t="s">
        <v>11</v>
      </c>
      <c r="C25" s="203">
        <f>407738.36*0.8</f>
        <v>326190.688</v>
      </c>
      <c r="D25" s="7">
        <f>59547.56*0.8</f>
        <v>47638.048</v>
      </c>
      <c r="E25" s="7">
        <f>88702.69*0.82</f>
        <v>72736.2058</v>
      </c>
      <c r="F25" s="7">
        <f>15498.49*0.82</f>
        <v>12708.761799999998</v>
      </c>
      <c r="G25" s="8"/>
      <c r="H25" s="8">
        <f>248+504</f>
        <v>752</v>
      </c>
      <c r="I25" s="8"/>
      <c r="J25" s="8"/>
      <c r="K25" s="8"/>
      <c r="L25" s="225">
        <f>3005.22+1559.4</f>
        <v>4564.62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153">
        <f t="shared" si="6"/>
        <v>0</v>
      </c>
      <c r="AB25" s="153">
        <f t="shared" si="6"/>
        <v>5316.62</v>
      </c>
      <c r="AC25" s="153">
        <f t="shared" si="1"/>
        <v>5316.62</v>
      </c>
      <c r="AD25" s="9"/>
      <c r="AE25" s="213">
        <v>-1091.5</v>
      </c>
      <c r="AF25" s="50"/>
      <c r="AG25" s="10"/>
      <c r="AH25" s="32"/>
      <c r="AI25" s="10"/>
      <c r="AJ25" s="10"/>
      <c r="AK25" s="10"/>
      <c r="AL25" s="10"/>
      <c r="AM25" s="10"/>
      <c r="AN25" s="10"/>
      <c r="AO25" s="10">
        <v>384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28"/>
      <c r="CK25" s="181"/>
      <c r="CL25" s="46">
        <f t="shared" si="2"/>
        <v>0</v>
      </c>
      <c r="CM25" s="46">
        <f t="shared" si="2"/>
        <v>384</v>
      </c>
      <c r="CN25" s="46">
        <f t="shared" si="3"/>
        <v>384</v>
      </c>
      <c r="CO25" s="48"/>
      <c r="CP25" s="140"/>
      <c r="CQ25" s="181"/>
      <c r="CR25" s="216"/>
      <c r="CS25" s="50"/>
      <c r="CT25" s="28"/>
      <c r="CU25" s="28"/>
      <c r="CV25" s="8">
        <f>4645.98+7114.93</f>
        <v>11760.91</v>
      </c>
      <c r="CW25" s="28"/>
      <c r="CX25" s="127"/>
      <c r="CY25" s="39"/>
      <c r="CZ25" s="215"/>
      <c r="DA25" s="39"/>
      <c r="DB25" s="39"/>
      <c r="DC25" s="39"/>
      <c r="DD25" s="36"/>
      <c r="DE25" s="181"/>
      <c r="DF25" s="181"/>
      <c r="DG25" s="173"/>
      <c r="DH25" s="173"/>
      <c r="DI25" s="217">
        <f t="shared" si="4"/>
        <v>398926.8938</v>
      </c>
      <c r="DJ25" s="218">
        <f t="shared" si="4"/>
        <v>76716.8398</v>
      </c>
      <c r="DK25" s="183">
        <f t="shared" si="5"/>
        <v>475643.73360000004</v>
      </c>
      <c r="DM25" s="195"/>
      <c r="DO25" s="195"/>
    </row>
    <row r="26" spans="1:119" ht="19.5" thickBot="1">
      <c r="A26" s="6">
        <v>20</v>
      </c>
      <c r="B26" s="6" t="s">
        <v>26</v>
      </c>
      <c r="C26" s="203">
        <f>317237.74*0.8</f>
        <v>253790.192</v>
      </c>
      <c r="D26" s="7">
        <f>76751.2*0.8</f>
        <v>61400.96</v>
      </c>
      <c r="E26" s="7">
        <f>70090.65*0.82</f>
        <v>57474.33299999999</v>
      </c>
      <c r="F26" s="7">
        <f>16492.19*0.82</f>
        <v>13523.595799999997</v>
      </c>
      <c r="G26" s="8"/>
      <c r="H26" s="8">
        <f>248+504</f>
        <v>752</v>
      </c>
      <c r="I26" s="8"/>
      <c r="J26" s="8"/>
      <c r="K26" s="8"/>
      <c r="L26" s="225">
        <v>2815.98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153">
        <f t="shared" si="6"/>
        <v>0</v>
      </c>
      <c r="AB26" s="153">
        <f t="shared" si="6"/>
        <v>3567.98</v>
      </c>
      <c r="AC26" s="153">
        <f t="shared" si="1"/>
        <v>3567.98</v>
      </c>
      <c r="AD26" s="9"/>
      <c r="AE26" s="213">
        <v>-3562.2</v>
      </c>
      <c r="AF26" s="50"/>
      <c r="AG26" s="10"/>
      <c r="AH26" s="32"/>
      <c r="AI26" s="10"/>
      <c r="AJ26" s="10"/>
      <c r="AK26" s="10"/>
      <c r="AL26" s="10"/>
      <c r="AM26" s="10"/>
      <c r="AN26" s="10"/>
      <c r="AO26" s="10">
        <v>1740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28"/>
      <c r="CK26" s="181"/>
      <c r="CL26" s="46">
        <f t="shared" si="2"/>
        <v>0</v>
      </c>
      <c r="CM26" s="46">
        <f t="shared" si="2"/>
        <v>1740</v>
      </c>
      <c r="CN26" s="46">
        <f t="shared" si="3"/>
        <v>1740</v>
      </c>
      <c r="CO26" s="48"/>
      <c r="CP26" s="140">
        <v>472</v>
      </c>
      <c r="CQ26" s="181"/>
      <c r="CR26" s="216">
        <f>-15258.56-4817.1</f>
        <v>-20075.66</v>
      </c>
      <c r="CS26" s="50"/>
      <c r="CT26" s="28"/>
      <c r="CU26" s="28"/>
      <c r="CV26" s="8">
        <f>2937.41+7965.83</f>
        <v>10903.24</v>
      </c>
      <c r="CW26" s="28"/>
      <c r="CX26" s="127"/>
      <c r="CY26" s="39"/>
      <c r="CZ26" s="39"/>
      <c r="DA26" s="39"/>
      <c r="DB26" s="39"/>
      <c r="DC26" s="39"/>
      <c r="DD26" s="216">
        <v>1312</v>
      </c>
      <c r="DE26" s="181"/>
      <c r="DF26" s="181"/>
      <c r="DG26" s="173"/>
      <c r="DH26" s="173"/>
      <c r="DI26" s="217">
        <f t="shared" si="4"/>
        <v>311264.525</v>
      </c>
      <c r="DJ26" s="218">
        <f t="shared" si="4"/>
        <v>69281.9158</v>
      </c>
      <c r="DK26" s="183">
        <f t="shared" si="5"/>
        <v>380546.44080000004</v>
      </c>
      <c r="DM26" s="195"/>
      <c r="DO26" s="195"/>
    </row>
    <row r="27" spans="1:119" ht="19.5" thickBot="1">
      <c r="A27" s="6">
        <v>21</v>
      </c>
      <c r="B27" s="6" t="s">
        <v>27</v>
      </c>
      <c r="C27" s="203">
        <f>211453.57*0.8</f>
        <v>169162.85600000003</v>
      </c>
      <c r="D27" s="7">
        <f>53410.6*0.8</f>
        <v>42728.48</v>
      </c>
      <c r="E27" s="7">
        <f>47157.73*0.82</f>
        <v>38669.3386</v>
      </c>
      <c r="F27" s="7">
        <f>11910.28*0.82</f>
        <v>9766.4296</v>
      </c>
      <c r="G27" s="8"/>
      <c r="H27" s="8">
        <f>310+504</f>
        <v>814</v>
      </c>
      <c r="I27" s="8"/>
      <c r="J27" s="8"/>
      <c r="K27" s="8"/>
      <c r="L27" s="225">
        <v>5375.16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153">
        <f t="shared" si="6"/>
        <v>0</v>
      </c>
      <c r="AB27" s="153">
        <f t="shared" si="6"/>
        <v>6189.16</v>
      </c>
      <c r="AC27" s="153">
        <f t="shared" si="1"/>
        <v>6189.16</v>
      </c>
      <c r="AD27" s="9"/>
      <c r="AE27" s="213">
        <v>-10442</v>
      </c>
      <c r="AF27" s="50"/>
      <c r="AG27" s="10">
        <v>-1.4</v>
      </c>
      <c r="AH27" s="32"/>
      <c r="AI27" s="10"/>
      <c r="AJ27" s="10"/>
      <c r="AK27" s="10"/>
      <c r="AL27" s="10"/>
      <c r="AM27" s="10"/>
      <c r="AN27" s="10"/>
      <c r="AO27" s="10">
        <v>1092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222"/>
      <c r="CD27" s="10"/>
      <c r="CE27" s="10"/>
      <c r="CF27" s="10"/>
      <c r="CG27" s="10"/>
      <c r="CH27" s="10"/>
      <c r="CI27" s="10"/>
      <c r="CJ27" s="28"/>
      <c r="CK27" s="181"/>
      <c r="CL27" s="46">
        <f t="shared" si="2"/>
        <v>0</v>
      </c>
      <c r="CM27" s="46">
        <f t="shared" si="2"/>
        <v>1090.6</v>
      </c>
      <c r="CN27" s="46">
        <f t="shared" si="3"/>
        <v>1090.6</v>
      </c>
      <c r="CO27" s="48"/>
      <c r="CP27" s="140"/>
      <c r="CQ27" s="181"/>
      <c r="CR27" s="216">
        <v>-1828.68</v>
      </c>
      <c r="CS27" s="50"/>
      <c r="CT27" s="8">
        <v>125.24</v>
      </c>
      <c r="CU27" s="28"/>
      <c r="CV27" s="8">
        <f>1706.31+1819.47</f>
        <v>3525.7799999999997</v>
      </c>
      <c r="CW27" s="28"/>
      <c r="CX27" s="127"/>
      <c r="CY27" s="39"/>
      <c r="CZ27" s="215"/>
      <c r="DA27" s="39"/>
      <c r="DB27" s="39"/>
      <c r="DC27" s="39"/>
      <c r="DD27" s="36"/>
      <c r="DE27" s="181"/>
      <c r="DF27" s="181"/>
      <c r="DG27" s="173"/>
      <c r="DH27" s="173"/>
      <c r="DI27" s="217">
        <f t="shared" si="4"/>
        <v>207832.19460000005</v>
      </c>
      <c r="DJ27" s="218">
        <f t="shared" si="4"/>
        <v>51155.0096</v>
      </c>
      <c r="DK27" s="183">
        <f t="shared" si="5"/>
        <v>258987.20420000004</v>
      </c>
      <c r="DM27" s="195"/>
      <c r="DO27" s="195"/>
    </row>
    <row r="28" spans="1:119" ht="19.5" thickBot="1">
      <c r="A28" s="6">
        <v>22</v>
      </c>
      <c r="B28" s="6" t="s">
        <v>28</v>
      </c>
      <c r="C28" s="203">
        <f>382368.6*0.8</f>
        <v>305894.88</v>
      </c>
      <c r="D28" s="7">
        <f>82225.57*0.8</f>
        <v>65780.456</v>
      </c>
      <c r="E28" s="7">
        <f>80418.66*0.82</f>
        <v>65943.3012</v>
      </c>
      <c r="F28" s="7">
        <f>20825.49*0.82</f>
        <v>17076.9018</v>
      </c>
      <c r="G28" s="8"/>
      <c r="H28" s="8">
        <f>496+576</f>
        <v>1072</v>
      </c>
      <c r="I28" s="8"/>
      <c r="J28" s="8"/>
      <c r="K28" s="8"/>
      <c r="L28" s="225">
        <f>8568.18</f>
        <v>8568.18</v>
      </c>
      <c r="M28" s="8"/>
      <c r="N28" s="8"/>
      <c r="O28" s="8"/>
      <c r="P28" s="8"/>
      <c r="Q28" s="8"/>
      <c r="R28" s="8"/>
      <c r="S28" s="8"/>
      <c r="T28" s="8"/>
      <c r="U28" s="8"/>
      <c r="V28" s="8">
        <f>21780+11114</f>
        <v>32894</v>
      </c>
      <c r="W28" s="8"/>
      <c r="X28" s="8"/>
      <c r="Y28" s="8"/>
      <c r="Z28" s="8"/>
      <c r="AA28" s="153">
        <f t="shared" si="6"/>
        <v>0</v>
      </c>
      <c r="AB28" s="153">
        <f t="shared" si="6"/>
        <v>42534.18</v>
      </c>
      <c r="AC28" s="153">
        <f t="shared" si="1"/>
        <v>42534.18</v>
      </c>
      <c r="AD28" s="9"/>
      <c r="AE28" s="213">
        <v>-5984.7</v>
      </c>
      <c r="AF28" s="50"/>
      <c r="AG28" s="10"/>
      <c r="AH28" s="32"/>
      <c r="AI28" s="10"/>
      <c r="AJ28" s="10"/>
      <c r="AK28" s="10"/>
      <c r="AL28" s="10"/>
      <c r="AM28" s="10"/>
      <c r="AN28" s="10"/>
      <c r="AO28" s="10">
        <v>2226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28"/>
      <c r="CK28" s="181"/>
      <c r="CL28" s="46">
        <f t="shared" si="2"/>
        <v>0</v>
      </c>
      <c r="CM28" s="46">
        <f t="shared" si="2"/>
        <v>2226</v>
      </c>
      <c r="CN28" s="46">
        <f t="shared" si="3"/>
        <v>2226</v>
      </c>
      <c r="CO28" s="48"/>
      <c r="CP28" s="140"/>
      <c r="CQ28" s="181"/>
      <c r="CR28" s="216">
        <v>-7053.87</v>
      </c>
      <c r="CS28" s="50"/>
      <c r="CT28" s="28"/>
      <c r="CU28" s="28"/>
      <c r="CV28" s="8">
        <f>4530.74+4107.38-1208.63</f>
        <v>7429.489999999999</v>
      </c>
      <c r="CW28" s="28"/>
      <c r="CX28" s="127"/>
      <c r="CY28" s="39"/>
      <c r="CZ28" s="39"/>
      <c r="DA28" s="39"/>
      <c r="DB28" s="39"/>
      <c r="DC28" s="39"/>
      <c r="DD28" s="36"/>
      <c r="DE28" s="181"/>
      <c r="DF28" s="181"/>
      <c r="DG28" s="173"/>
      <c r="DH28" s="173"/>
      <c r="DI28" s="217">
        <f t="shared" si="4"/>
        <v>371838.1812</v>
      </c>
      <c r="DJ28" s="218">
        <f t="shared" si="4"/>
        <v>122008.4578</v>
      </c>
      <c r="DK28" s="183">
        <f t="shared" si="5"/>
        <v>493846.63899999997</v>
      </c>
      <c r="DM28" s="195"/>
      <c r="DO28" s="195"/>
    </row>
    <row r="29" spans="1:119" ht="19.5" thickBot="1">
      <c r="A29" s="6">
        <v>23</v>
      </c>
      <c r="B29" s="6" t="s">
        <v>3</v>
      </c>
      <c r="C29" s="203">
        <f>114649.49*0.8</f>
        <v>91719.592</v>
      </c>
      <c r="D29" s="7">
        <f>36654.7*0.8</f>
        <v>29323.76</v>
      </c>
      <c r="E29" s="7">
        <f>25222.89*0.82</f>
        <v>20682.7698</v>
      </c>
      <c r="F29" s="7">
        <f>8583.56*0.82</f>
        <v>7038.519199999999</v>
      </c>
      <c r="G29" s="8"/>
      <c r="H29" s="8">
        <f>248+360</f>
        <v>608</v>
      </c>
      <c r="I29" s="8"/>
      <c r="J29" s="8"/>
      <c r="K29" s="8"/>
      <c r="L29" s="225">
        <f>294.36+623.76</f>
        <v>918.12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153">
        <f t="shared" si="6"/>
        <v>0</v>
      </c>
      <c r="AB29" s="153">
        <f t="shared" si="6"/>
        <v>1526.12</v>
      </c>
      <c r="AC29" s="153">
        <f t="shared" si="1"/>
        <v>1526.12</v>
      </c>
      <c r="AD29" s="9"/>
      <c r="AE29" s="213">
        <v>-1486</v>
      </c>
      <c r="AF29" s="50"/>
      <c r="AG29" s="10"/>
      <c r="AH29" s="32"/>
      <c r="AI29" s="10"/>
      <c r="AJ29" s="10"/>
      <c r="AK29" s="10"/>
      <c r="AL29" s="10"/>
      <c r="AM29" s="10"/>
      <c r="AN29" s="10"/>
      <c r="AO29" s="10">
        <v>600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28"/>
      <c r="CK29" s="181"/>
      <c r="CL29" s="46">
        <f t="shared" si="2"/>
        <v>0</v>
      </c>
      <c r="CM29" s="46">
        <f t="shared" si="2"/>
        <v>600</v>
      </c>
      <c r="CN29" s="46">
        <f t="shared" si="3"/>
        <v>600</v>
      </c>
      <c r="CO29" s="48"/>
      <c r="CP29" s="140"/>
      <c r="CQ29" s="181"/>
      <c r="CR29" s="216"/>
      <c r="CS29" s="50"/>
      <c r="CT29" s="28"/>
      <c r="CU29" s="28"/>
      <c r="CV29" s="8">
        <f>1905.47+2910.24</f>
        <v>4815.71</v>
      </c>
      <c r="CW29" s="28"/>
      <c r="CX29" s="127"/>
      <c r="CY29" s="39"/>
      <c r="CZ29" s="39"/>
      <c r="DA29" s="39"/>
      <c r="DB29" s="39"/>
      <c r="DC29" s="39"/>
      <c r="DD29" s="36"/>
      <c r="DE29" s="181"/>
      <c r="DF29" s="181"/>
      <c r="DG29" s="173"/>
      <c r="DH29" s="173"/>
      <c r="DI29" s="217">
        <f t="shared" si="4"/>
        <v>112402.3618</v>
      </c>
      <c r="DJ29" s="218">
        <f t="shared" si="4"/>
        <v>41818.1092</v>
      </c>
      <c r="DK29" s="183">
        <f t="shared" si="5"/>
        <v>154220.471</v>
      </c>
      <c r="DM29" s="195"/>
      <c r="DO29" s="195"/>
    </row>
    <row r="30" spans="1:119" ht="19.5" thickBot="1">
      <c r="A30" s="6">
        <v>24</v>
      </c>
      <c r="B30" s="6" t="s">
        <v>10</v>
      </c>
      <c r="C30" s="203">
        <f>1215234.51*0.8</f>
        <v>972187.608</v>
      </c>
      <c r="D30" s="7">
        <f>157004.04*0.8</f>
        <v>125603.23200000002</v>
      </c>
      <c r="E30" s="7">
        <f>252277.48*0.82</f>
        <v>206867.5336</v>
      </c>
      <c r="F30" s="7">
        <f>34915.35*0.82</f>
        <v>28630.586999999996</v>
      </c>
      <c r="G30" s="8"/>
      <c r="H30" s="8">
        <f>806+1224</f>
        <v>2030</v>
      </c>
      <c r="I30" s="8"/>
      <c r="J30" s="8"/>
      <c r="K30" s="8"/>
      <c r="L30" s="225">
        <f>16904.58+1559.4</f>
        <v>18463.980000000003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153">
        <f t="shared" si="6"/>
        <v>0</v>
      </c>
      <c r="AB30" s="153">
        <f t="shared" si="6"/>
        <v>20493.980000000003</v>
      </c>
      <c r="AC30" s="153">
        <f t="shared" si="1"/>
        <v>20493.980000000003</v>
      </c>
      <c r="AD30" s="9"/>
      <c r="AE30" s="213">
        <v>-6609.2</v>
      </c>
      <c r="AF30" s="50"/>
      <c r="AG30" s="10"/>
      <c r="AH30" s="32"/>
      <c r="AI30" s="10"/>
      <c r="AJ30" s="10"/>
      <c r="AK30" s="10"/>
      <c r="AL30" s="10"/>
      <c r="AM30" s="10"/>
      <c r="AN30" s="10"/>
      <c r="AO30" s="10">
        <v>3138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7"/>
      <c r="CF30" s="10"/>
      <c r="CG30" s="10"/>
      <c r="CH30" s="10"/>
      <c r="CI30" s="10"/>
      <c r="CJ30" s="28"/>
      <c r="CK30" s="181"/>
      <c r="CL30" s="46">
        <f t="shared" si="2"/>
        <v>0</v>
      </c>
      <c r="CM30" s="46">
        <f t="shared" si="2"/>
        <v>3138</v>
      </c>
      <c r="CN30" s="46">
        <f t="shared" si="3"/>
        <v>3138</v>
      </c>
      <c r="CO30" s="48"/>
      <c r="CP30" s="140"/>
      <c r="CQ30" s="181"/>
      <c r="CR30" s="216">
        <v>-2153.13</v>
      </c>
      <c r="CS30" s="50"/>
      <c r="CT30" s="28">
        <v>899.81</v>
      </c>
      <c r="CU30" s="28"/>
      <c r="CV30" s="8">
        <v>2235.86</v>
      </c>
      <c r="CW30" s="28"/>
      <c r="CX30" s="127"/>
      <c r="CY30" s="39"/>
      <c r="CZ30" s="39"/>
      <c r="DA30" s="39"/>
      <c r="DB30" s="39"/>
      <c r="DC30" s="39"/>
      <c r="DD30" s="36"/>
      <c r="DE30" s="181"/>
      <c r="DF30" s="181"/>
      <c r="DG30" s="173"/>
      <c r="DH30" s="173"/>
      <c r="DI30" s="217">
        <f t="shared" si="4"/>
        <v>1179055.1416</v>
      </c>
      <c r="DJ30" s="218">
        <f t="shared" si="4"/>
        <v>172239.139</v>
      </c>
      <c r="DK30" s="183">
        <f t="shared" si="5"/>
        <v>1351294.2806</v>
      </c>
      <c r="DM30" s="195"/>
      <c r="DO30" s="195"/>
    </row>
    <row r="31" spans="1:119" ht="19.5" thickBot="1">
      <c r="A31" s="6">
        <v>25</v>
      </c>
      <c r="B31" s="6" t="s">
        <v>29</v>
      </c>
      <c r="C31" s="203">
        <f>377198.14*0.8</f>
        <v>301758.51200000005</v>
      </c>
      <c r="D31" s="7">
        <f>58011.29*0.8</f>
        <v>46409.03200000001</v>
      </c>
      <c r="E31" s="7">
        <f>77869.11*0.82</f>
        <v>63852.67019999999</v>
      </c>
      <c r="F31" s="7">
        <f>12092.06*0.82</f>
        <v>9915.489199999998</v>
      </c>
      <c r="G31" s="8"/>
      <c r="H31" s="8">
        <f>248+576</f>
        <v>824</v>
      </c>
      <c r="I31" s="8"/>
      <c r="J31" s="8"/>
      <c r="K31" s="8"/>
      <c r="L31" s="225">
        <v>5131.44</v>
      </c>
      <c r="M31" s="8"/>
      <c r="N31" s="8"/>
      <c r="O31" s="8"/>
      <c r="P31" s="8"/>
      <c r="Q31" s="8"/>
      <c r="R31" s="8"/>
      <c r="S31" s="8"/>
      <c r="T31" s="8"/>
      <c r="U31" s="8"/>
      <c r="V31" s="8">
        <v>27438</v>
      </c>
      <c r="W31" s="8"/>
      <c r="X31" s="8"/>
      <c r="Y31" s="8"/>
      <c r="Z31" s="8"/>
      <c r="AA31" s="153">
        <f t="shared" si="6"/>
        <v>0</v>
      </c>
      <c r="AB31" s="153">
        <f t="shared" si="6"/>
        <v>33393.44</v>
      </c>
      <c r="AC31" s="153">
        <f t="shared" si="1"/>
        <v>33393.44</v>
      </c>
      <c r="AD31" s="9"/>
      <c r="AE31" s="213">
        <v>-5274.6</v>
      </c>
      <c r="AF31" s="50"/>
      <c r="AG31" s="10"/>
      <c r="AH31" s="32"/>
      <c r="AI31" s="10"/>
      <c r="AJ31" s="10"/>
      <c r="AK31" s="10"/>
      <c r="AL31" s="10"/>
      <c r="AM31" s="10"/>
      <c r="AN31" s="10"/>
      <c r="AO31" s="10">
        <v>456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28"/>
      <c r="CK31" s="181"/>
      <c r="CL31" s="46">
        <f t="shared" si="2"/>
        <v>0</v>
      </c>
      <c r="CM31" s="46">
        <f t="shared" si="2"/>
        <v>456</v>
      </c>
      <c r="CN31" s="46">
        <f t="shared" si="3"/>
        <v>456</v>
      </c>
      <c r="CO31" s="48"/>
      <c r="CP31" s="140"/>
      <c r="CQ31" s="181"/>
      <c r="CR31" s="216"/>
      <c r="CS31" s="140"/>
      <c r="CT31" s="28"/>
      <c r="CU31" s="28"/>
      <c r="CV31" s="8">
        <v>1480.02</v>
      </c>
      <c r="CW31" s="28"/>
      <c r="CX31" s="127"/>
      <c r="CY31" s="39"/>
      <c r="CZ31" s="39"/>
      <c r="DA31" s="39"/>
      <c r="DB31" s="39"/>
      <c r="DC31" s="39"/>
      <c r="DD31" s="36"/>
      <c r="DE31" s="181"/>
      <c r="DF31" s="181"/>
      <c r="DG31" s="173"/>
      <c r="DH31" s="173"/>
      <c r="DI31" s="217">
        <f t="shared" si="4"/>
        <v>365611.18220000004</v>
      </c>
      <c r="DJ31" s="218">
        <f t="shared" si="4"/>
        <v>86379.3812</v>
      </c>
      <c r="DK31" s="183">
        <f t="shared" si="5"/>
        <v>451990.56340000004</v>
      </c>
      <c r="DM31" s="195"/>
      <c r="DO31" s="195"/>
    </row>
    <row r="32" spans="1:119" ht="38.25" thickBot="1">
      <c r="A32" s="6">
        <v>26</v>
      </c>
      <c r="B32" s="6" t="s">
        <v>2</v>
      </c>
      <c r="C32" s="203">
        <f>1403249.92*0.8+12467.32</f>
        <v>1135067.256</v>
      </c>
      <c r="D32" s="7">
        <f>117128.35*0.8</f>
        <v>93702.68000000001</v>
      </c>
      <c r="E32" s="7">
        <f>303326.72*0.82-3581.91</f>
        <v>245146.00039999996</v>
      </c>
      <c r="F32" s="7">
        <f>28404.99*0.82</f>
        <v>23292.0918</v>
      </c>
      <c r="G32" s="8"/>
      <c r="H32" s="8">
        <f>806+1656-144</f>
        <v>2318</v>
      </c>
      <c r="I32" s="8"/>
      <c r="J32" s="8"/>
      <c r="K32" s="8"/>
      <c r="L32" s="225">
        <v>20142.48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53">
        <f t="shared" si="6"/>
        <v>0</v>
      </c>
      <c r="AB32" s="153">
        <f t="shared" si="6"/>
        <v>22460.48</v>
      </c>
      <c r="AC32" s="153">
        <f t="shared" si="1"/>
        <v>22460.48</v>
      </c>
      <c r="AD32" s="9"/>
      <c r="AE32" s="213">
        <v>-4396</v>
      </c>
      <c r="AF32" s="50"/>
      <c r="AG32" s="7"/>
      <c r="AH32" s="32"/>
      <c r="AI32" s="10"/>
      <c r="AJ32" s="10"/>
      <c r="AK32" s="10"/>
      <c r="AL32" s="10"/>
      <c r="AM32" s="10"/>
      <c r="AN32" s="10"/>
      <c r="AO32" s="10">
        <v>3828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28"/>
      <c r="CK32" s="181"/>
      <c r="CL32" s="46">
        <f t="shared" si="2"/>
        <v>0</v>
      </c>
      <c r="CM32" s="46">
        <f t="shared" si="2"/>
        <v>3828</v>
      </c>
      <c r="CN32" s="46">
        <f t="shared" si="3"/>
        <v>3828</v>
      </c>
      <c r="CO32" s="48"/>
      <c r="CP32" s="140">
        <v>120</v>
      </c>
      <c r="CQ32" s="181"/>
      <c r="CR32" s="216"/>
      <c r="CS32" s="50"/>
      <c r="CT32" s="28">
        <v>5543.27</v>
      </c>
      <c r="CU32" s="28"/>
      <c r="CV32" s="8">
        <v>1545.64</v>
      </c>
      <c r="CW32" s="28"/>
      <c r="CX32" s="127"/>
      <c r="CY32" s="39"/>
      <c r="CZ32" s="215"/>
      <c r="DA32" s="39"/>
      <c r="DB32" s="39"/>
      <c r="DC32" s="39"/>
      <c r="DD32" s="36"/>
      <c r="DE32" s="181"/>
      <c r="DF32" s="181"/>
      <c r="DG32" s="173"/>
      <c r="DH32" s="173"/>
      <c r="DI32" s="217">
        <f t="shared" si="4"/>
        <v>1380213.2564</v>
      </c>
      <c r="DJ32" s="218">
        <f t="shared" si="4"/>
        <v>146096.1618</v>
      </c>
      <c r="DK32" s="183">
        <f t="shared" si="5"/>
        <v>1526309.4182000002</v>
      </c>
      <c r="DM32" s="195"/>
      <c r="DO32" s="195"/>
    </row>
    <row r="33" spans="1:119" ht="19.5" thickBot="1">
      <c r="A33" s="6">
        <v>27</v>
      </c>
      <c r="B33" s="6" t="s">
        <v>30</v>
      </c>
      <c r="C33" s="203">
        <f>583996.07*0.8</f>
        <v>467196.85599999997</v>
      </c>
      <c r="D33" s="7">
        <f>64712.2*0.8+0.0055</f>
        <v>51769.7655</v>
      </c>
      <c r="E33" s="7">
        <f>124006.98*0.82</f>
        <v>101685.7236</v>
      </c>
      <c r="F33" s="7">
        <f>12830.25*0.82</f>
        <v>10520.804999999998</v>
      </c>
      <c r="G33" s="8"/>
      <c r="H33" s="8">
        <f>372+792</f>
        <v>1164</v>
      </c>
      <c r="I33" s="8"/>
      <c r="J33" s="8"/>
      <c r="K33" s="8"/>
      <c r="L33" s="225">
        <v>6854.7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153">
        <f t="shared" si="6"/>
        <v>0</v>
      </c>
      <c r="AB33" s="153">
        <f t="shared" si="6"/>
        <v>8018.7</v>
      </c>
      <c r="AC33" s="153">
        <f t="shared" si="1"/>
        <v>8018.7</v>
      </c>
      <c r="AD33" s="9"/>
      <c r="AE33" s="213">
        <f>-1566.6</f>
        <v>-1566.6</v>
      </c>
      <c r="AF33" s="50"/>
      <c r="AG33" s="10"/>
      <c r="AH33" s="32"/>
      <c r="AI33" s="10"/>
      <c r="AJ33" s="10"/>
      <c r="AK33" s="10"/>
      <c r="AL33" s="10"/>
      <c r="AM33" s="10"/>
      <c r="AN33" s="10"/>
      <c r="AO33" s="10">
        <v>624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28"/>
      <c r="CK33" s="181"/>
      <c r="CL33" s="46">
        <f t="shared" si="2"/>
        <v>0</v>
      </c>
      <c r="CM33" s="46">
        <f t="shared" si="2"/>
        <v>624</v>
      </c>
      <c r="CN33" s="46">
        <f t="shared" si="3"/>
        <v>624</v>
      </c>
      <c r="CO33" s="48"/>
      <c r="CP33" s="140"/>
      <c r="CQ33" s="181"/>
      <c r="CR33" s="216">
        <v>-241.86</v>
      </c>
      <c r="CS33" s="140"/>
      <c r="CT33" s="28">
        <v>227.23</v>
      </c>
      <c r="CU33" s="28"/>
      <c r="CV33" s="8">
        <v>1523.01</v>
      </c>
      <c r="CW33" s="28"/>
      <c r="CX33" s="127"/>
      <c r="CY33" s="39"/>
      <c r="CZ33" s="215"/>
      <c r="DA33" s="39"/>
      <c r="DB33" s="39"/>
      <c r="DC33" s="39"/>
      <c r="DD33" s="36"/>
      <c r="DE33" s="181"/>
      <c r="DF33" s="181"/>
      <c r="DG33" s="173"/>
      <c r="DH33" s="173"/>
      <c r="DI33" s="217">
        <f t="shared" si="4"/>
        <v>568882.5795999999</v>
      </c>
      <c r="DJ33" s="218">
        <f t="shared" si="4"/>
        <v>70875.05049999998</v>
      </c>
      <c r="DK33" s="183">
        <f t="shared" si="5"/>
        <v>639757.6301</v>
      </c>
      <c r="DM33" s="195"/>
      <c r="DO33" s="195"/>
    </row>
    <row r="34" spans="1:119" ht="19.5" thickBot="1">
      <c r="A34" s="6">
        <v>28</v>
      </c>
      <c r="B34" s="6" t="s">
        <v>31</v>
      </c>
      <c r="C34" s="203">
        <f>126498.85*0.8</f>
        <v>101199.08000000002</v>
      </c>
      <c r="D34" s="7">
        <f>41755.56*0.8</f>
        <v>33404.448</v>
      </c>
      <c r="E34" s="7">
        <f>30501.33*0.82</f>
        <v>25011.0906</v>
      </c>
      <c r="F34" s="7">
        <f>9705.75*0.82</f>
        <v>7958.714999999999</v>
      </c>
      <c r="G34" s="8"/>
      <c r="H34" s="8">
        <f>248+360</f>
        <v>608</v>
      </c>
      <c r="I34" s="8"/>
      <c r="J34" s="8"/>
      <c r="K34" s="8"/>
      <c r="L34" s="225">
        <v>1729.44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153">
        <f t="shared" si="6"/>
        <v>0</v>
      </c>
      <c r="AB34" s="153">
        <f t="shared" si="6"/>
        <v>2337.44</v>
      </c>
      <c r="AC34" s="153">
        <f t="shared" si="1"/>
        <v>2337.44</v>
      </c>
      <c r="AD34" s="9"/>
      <c r="AE34" s="127"/>
      <c r="AF34" s="50"/>
      <c r="AG34" s="7"/>
      <c r="AH34" s="32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222"/>
      <c r="CD34" s="10"/>
      <c r="CE34" s="10"/>
      <c r="CF34" s="10"/>
      <c r="CG34" s="10"/>
      <c r="CH34" s="10"/>
      <c r="CI34" s="10"/>
      <c r="CJ34" s="28"/>
      <c r="CK34" s="181"/>
      <c r="CL34" s="46">
        <f t="shared" si="2"/>
        <v>0</v>
      </c>
      <c r="CM34" s="46">
        <f t="shared" si="2"/>
        <v>0</v>
      </c>
      <c r="CN34" s="46">
        <f t="shared" si="3"/>
        <v>0</v>
      </c>
      <c r="CO34" s="48"/>
      <c r="CP34" s="50"/>
      <c r="CQ34" s="181"/>
      <c r="CR34" s="216"/>
      <c r="CS34" s="140"/>
      <c r="CT34" s="8"/>
      <c r="CU34" s="28"/>
      <c r="CV34" s="8">
        <f>396.03+452.6</f>
        <v>848.63</v>
      </c>
      <c r="CW34" s="28"/>
      <c r="CX34" s="127"/>
      <c r="CY34" s="39"/>
      <c r="CZ34" s="39"/>
      <c r="DA34" s="39"/>
      <c r="DB34" s="39"/>
      <c r="DC34" s="39"/>
      <c r="DD34" s="216">
        <v>948</v>
      </c>
      <c r="DE34" s="181"/>
      <c r="DF34" s="181"/>
      <c r="DG34" s="173"/>
      <c r="DH34" s="173"/>
      <c r="DI34" s="217">
        <f t="shared" si="4"/>
        <v>126210.17060000001</v>
      </c>
      <c r="DJ34" s="218">
        <f t="shared" si="4"/>
        <v>45497.23299999999</v>
      </c>
      <c r="DK34" s="183">
        <f t="shared" si="5"/>
        <v>171707.40360000002</v>
      </c>
      <c r="DM34" s="195"/>
      <c r="DO34" s="195"/>
    </row>
    <row r="35" spans="1:119" ht="19.5" thickBot="1">
      <c r="A35" s="6">
        <v>29</v>
      </c>
      <c r="B35" s="6" t="s">
        <v>76</v>
      </c>
      <c r="C35" s="203">
        <f>186058.76*0.8</f>
        <v>148847.008</v>
      </c>
      <c r="D35" s="7">
        <f>77742.8*0.8</f>
        <v>62194.240000000005</v>
      </c>
      <c r="E35" s="7">
        <f>41014.41*0.82</f>
        <v>33631.8162</v>
      </c>
      <c r="F35" s="7">
        <f>18084.08*0.82</f>
        <v>14828.945600000001</v>
      </c>
      <c r="G35" s="8"/>
      <c r="H35" s="8">
        <f>186+216</f>
        <v>402</v>
      </c>
      <c r="I35" s="8"/>
      <c r="J35" s="8"/>
      <c r="K35" s="8"/>
      <c r="L35" s="225">
        <f>429.3+311.88</f>
        <v>741.1800000000001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153">
        <f t="shared" si="6"/>
        <v>0</v>
      </c>
      <c r="AB35" s="153">
        <f t="shared" si="6"/>
        <v>1143.18</v>
      </c>
      <c r="AC35" s="153">
        <f t="shared" si="1"/>
        <v>1143.18</v>
      </c>
      <c r="AD35" s="9"/>
      <c r="AE35" s="213">
        <f>-3632.7-1769.5</f>
        <v>-5402.2</v>
      </c>
      <c r="AF35" s="50"/>
      <c r="AG35" s="10"/>
      <c r="AH35" s="32"/>
      <c r="AI35" s="10"/>
      <c r="AJ35" s="10"/>
      <c r="AK35" s="10"/>
      <c r="AL35" s="10"/>
      <c r="AM35" s="10"/>
      <c r="AN35" s="10"/>
      <c r="AO35" s="10">
        <v>1584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222"/>
      <c r="CD35" s="10"/>
      <c r="CE35" s="10"/>
      <c r="CF35" s="10"/>
      <c r="CG35" s="10"/>
      <c r="CH35" s="10"/>
      <c r="CI35" s="10"/>
      <c r="CJ35" s="28"/>
      <c r="CK35" s="181"/>
      <c r="CL35" s="46">
        <f t="shared" si="2"/>
        <v>0</v>
      </c>
      <c r="CM35" s="46">
        <f t="shared" si="2"/>
        <v>1584</v>
      </c>
      <c r="CN35" s="46">
        <f t="shared" si="3"/>
        <v>1584</v>
      </c>
      <c r="CO35" s="48"/>
      <c r="CP35" s="50"/>
      <c r="CQ35" s="181"/>
      <c r="CR35" s="216"/>
      <c r="CS35" s="50"/>
      <c r="CT35" s="28"/>
      <c r="CU35" s="28"/>
      <c r="CV35" s="8">
        <f>2478.01+3132.02</f>
        <v>5610.030000000001</v>
      </c>
      <c r="CW35" s="28"/>
      <c r="CX35" s="127"/>
      <c r="CY35" s="39"/>
      <c r="CZ35" s="39"/>
      <c r="DA35" s="39"/>
      <c r="DB35" s="39"/>
      <c r="DC35" s="39"/>
      <c r="DD35" s="216">
        <v>1224</v>
      </c>
      <c r="DE35" s="181"/>
      <c r="DF35" s="181"/>
      <c r="DG35" s="173"/>
      <c r="DH35" s="173"/>
      <c r="DI35" s="217">
        <f t="shared" si="4"/>
        <v>182478.8242</v>
      </c>
      <c r="DJ35" s="218">
        <f t="shared" si="4"/>
        <v>81182.1956</v>
      </c>
      <c r="DK35" s="183">
        <f t="shared" si="5"/>
        <v>263661.0198</v>
      </c>
      <c r="DM35" s="195"/>
      <c r="DO35" s="195"/>
    </row>
    <row r="36" spans="1:119" ht="19.5" thickBot="1">
      <c r="A36" s="6">
        <v>30</v>
      </c>
      <c r="B36" s="6" t="s">
        <v>74</v>
      </c>
      <c r="C36" s="203">
        <f>583474.11*0.8</f>
        <v>466779.288</v>
      </c>
      <c r="D36" s="7">
        <f>45691.95*0.8</f>
        <v>36553.56</v>
      </c>
      <c r="E36" s="7">
        <f>128364.3*0.82</f>
        <v>105258.726</v>
      </c>
      <c r="F36" s="7">
        <f>10335.17*0.82</f>
        <v>8474.839399999999</v>
      </c>
      <c r="G36" s="8"/>
      <c r="H36" s="8">
        <f>248+504</f>
        <v>752</v>
      </c>
      <c r="I36" s="8"/>
      <c r="J36" s="8"/>
      <c r="K36" s="8"/>
      <c r="L36" s="225">
        <v>2212.26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153">
        <f t="shared" si="6"/>
        <v>0</v>
      </c>
      <c r="AB36" s="153">
        <f t="shared" si="6"/>
        <v>2964.26</v>
      </c>
      <c r="AC36" s="153">
        <f t="shared" si="1"/>
        <v>2964.26</v>
      </c>
      <c r="AD36" s="9"/>
      <c r="AE36" s="213">
        <v>-5235.5</v>
      </c>
      <c r="AF36" s="50"/>
      <c r="AG36" s="10">
        <v>400</v>
      </c>
      <c r="AH36" s="32"/>
      <c r="AI36" s="10"/>
      <c r="AJ36" s="10"/>
      <c r="AK36" s="10"/>
      <c r="AL36" s="10"/>
      <c r="AM36" s="10"/>
      <c r="AN36" s="10"/>
      <c r="AO36" s="10">
        <v>498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222"/>
      <c r="CD36" s="10"/>
      <c r="CE36" s="10"/>
      <c r="CF36" s="10"/>
      <c r="CG36" s="10"/>
      <c r="CH36" s="10"/>
      <c r="CI36" s="10"/>
      <c r="CJ36" s="28"/>
      <c r="CK36" s="181"/>
      <c r="CL36" s="46">
        <f t="shared" si="2"/>
        <v>0</v>
      </c>
      <c r="CM36" s="46">
        <f t="shared" si="2"/>
        <v>898</v>
      </c>
      <c r="CN36" s="46">
        <f t="shared" si="3"/>
        <v>898</v>
      </c>
      <c r="CO36" s="48"/>
      <c r="CP36" s="140"/>
      <c r="CQ36" s="181"/>
      <c r="CR36" s="216"/>
      <c r="CS36" s="50"/>
      <c r="CT36" s="8">
        <v>236.7</v>
      </c>
      <c r="CU36" s="28"/>
      <c r="CV36" s="8">
        <f>393.76+529.55</f>
        <v>923.31</v>
      </c>
      <c r="CW36" s="28"/>
      <c r="CX36" s="127"/>
      <c r="CY36" s="39"/>
      <c r="CZ36" s="39"/>
      <c r="DA36" s="39"/>
      <c r="DB36" s="39"/>
      <c r="DC36" s="39"/>
      <c r="DD36" s="216"/>
      <c r="DE36" s="181"/>
      <c r="DF36" s="181"/>
      <c r="DG36" s="173"/>
      <c r="DH36" s="173"/>
      <c r="DI36" s="217">
        <f t="shared" si="4"/>
        <v>572038.014</v>
      </c>
      <c r="DJ36" s="218">
        <f t="shared" si="4"/>
        <v>44815.16939999999</v>
      </c>
      <c r="DK36" s="183">
        <f t="shared" si="5"/>
        <v>616853.1834</v>
      </c>
      <c r="DM36" s="195"/>
      <c r="DO36" s="195"/>
    </row>
    <row r="37" spans="1:119" ht="19.5" thickBot="1">
      <c r="A37" s="6">
        <v>31</v>
      </c>
      <c r="B37" s="6" t="s">
        <v>32</v>
      </c>
      <c r="C37" s="203">
        <f>338921.68*0.8</f>
        <v>271137.344</v>
      </c>
      <c r="D37" s="7">
        <f>66812.15*0.8</f>
        <v>53449.72</v>
      </c>
      <c r="E37" s="7">
        <f>71804.48*0.82</f>
        <v>58879.673599999995</v>
      </c>
      <c r="F37" s="7">
        <f>21396.63*0.82</f>
        <v>17545.2366</v>
      </c>
      <c r="G37" s="8"/>
      <c r="H37" s="8">
        <f>372+576</f>
        <v>948</v>
      </c>
      <c r="I37" s="8"/>
      <c r="J37" s="8"/>
      <c r="K37" s="8"/>
      <c r="L37" s="225">
        <v>8346.12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53">
        <f t="shared" si="6"/>
        <v>0</v>
      </c>
      <c r="AB37" s="153">
        <f t="shared" si="6"/>
        <v>9294.12</v>
      </c>
      <c r="AC37" s="153">
        <f t="shared" si="1"/>
        <v>9294.12</v>
      </c>
      <c r="AD37" s="9"/>
      <c r="AE37" s="213">
        <v>-2186.7</v>
      </c>
      <c r="AF37" s="50"/>
      <c r="AG37" s="10"/>
      <c r="AH37" s="32"/>
      <c r="AI37" s="10"/>
      <c r="AJ37" s="10"/>
      <c r="AK37" s="222"/>
      <c r="AL37" s="10"/>
      <c r="AM37" s="10"/>
      <c r="AN37" s="10"/>
      <c r="AO37" s="10">
        <v>2034</v>
      </c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222"/>
      <c r="CD37" s="10"/>
      <c r="CE37" s="10"/>
      <c r="CF37" s="10"/>
      <c r="CG37" s="10"/>
      <c r="CH37" s="10"/>
      <c r="CI37" s="10"/>
      <c r="CJ37" s="28"/>
      <c r="CK37" s="181"/>
      <c r="CL37" s="46">
        <f t="shared" si="2"/>
        <v>0</v>
      </c>
      <c r="CM37" s="46">
        <f t="shared" si="2"/>
        <v>2034</v>
      </c>
      <c r="CN37" s="46">
        <f t="shared" si="3"/>
        <v>2034</v>
      </c>
      <c r="CO37" s="48"/>
      <c r="CP37" s="50"/>
      <c r="CQ37" s="181"/>
      <c r="CR37" s="216">
        <v>-1450.96</v>
      </c>
      <c r="CS37" s="50"/>
      <c r="CT37" s="28">
        <v>115.36</v>
      </c>
      <c r="CU37" s="28"/>
      <c r="CV37" s="8">
        <v>622.33</v>
      </c>
      <c r="CW37" s="28"/>
      <c r="CX37" s="127"/>
      <c r="CY37" s="39"/>
      <c r="CZ37" s="39"/>
      <c r="DA37" s="39"/>
      <c r="DB37" s="39"/>
      <c r="DC37" s="39"/>
      <c r="DD37" s="36"/>
      <c r="DE37" s="181"/>
      <c r="DF37" s="181"/>
      <c r="DG37" s="173"/>
      <c r="DH37" s="173"/>
      <c r="DI37" s="217">
        <f t="shared" si="4"/>
        <v>330017.01759999996</v>
      </c>
      <c r="DJ37" s="218">
        <f t="shared" si="4"/>
        <v>79423.1066</v>
      </c>
      <c r="DK37" s="183">
        <f t="shared" si="5"/>
        <v>409440.12419999996</v>
      </c>
      <c r="DM37" s="195"/>
      <c r="DO37" s="195"/>
    </row>
    <row r="38" spans="1:119" ht="19.5" thickBot="1">
      <c r="A38" s="4">
        <v>32</v>
      </c>
      <c r="B38" s="4" t="s">
        <v>33</v>
      </c>
      <c r="C38" s="199">
        <f>334261.81*0.8</f>
        <v>267409.44800000003</v>
      </c>
      <c r="D38" s="11">
        <f>32957.65*0.8</f>
        <v>26366.120000000003</v>
      </c>
      <c r="E38" s="11">
        <f>69500.88*0.82</f>
        <v>56990.7216</v>
      </c>
      <c r="F38" s="11">
        <f>7296.8*0.82</f>
        <v>5983.376</v>
      </c>
      <c r="G38" s="11"/>
      <c r="H38" s="11">
        <f>248+576</f>
        <v>824</v>
      </c>
      <c r="I38" s="11"/>
      <c r="J38" s="11"/>
      <c r="K38" s="11"/>
      <c r="L38" s="223">
        <v>2314.62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53">
        <f t="shared" si="6"/>
        <v>0</v>
      </c>
      <c r="AB38" s="153">
        <f t="shared" si="6"/>
        <v>3138.62</v>
      </c>
      <c r="AC38" s="247">
        <f t="shared" si="1"/>
        <v>3138.62</v>
      </c>
      <c r="AD38" s="13"/>
      <c r="AE38" s="142">
        <v>-1739.6</v>
      </c>
      <c r="AF38" s="237"/>
      <c r="AG38" s="11"/>
      <c r="AH38" s="33"/>
      <c r="AI38" s="11"/>
      <c r="AJ38" s="11"/>
      <c r="AK38" s="11"/>
      <c r="AL38" s="11"/>
      <c r="AM38" s="11"/>
      <c r="AN38" s="11"/>
      <c r="AO38" s="11">
        <v>390</v>
      </c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223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223"/>
      <c r="CD38" s="11"/>
      <c r="CE38" s="11"/>
      <c r="CF38" s="11"/>
      <c r="CG38" s="10"/>
      <c r="CH38" s="11"/>
      <c r="CI38" s="11"/>
      <c r="CJ38" s="12"/>
      <c r="CK38" s="182"/>
      <c r="CL38" s="46">
        <f t="shared" si="2"/>
        <v>0</v>
      </c>
      <c r="CM38" s="46">
        <f t="shared" si="2"/>
        <v>390</v>
      </c>
      <c r="CN38" s="46">
        <f t="shared" si="3"/>
        <v>390</v>
      </c>
      <c r="CO38" s="253"/>
      <c r="CP38" s="51"/>
      <c r="CQ38" s="182"/>
      <c r="CR38" s="37"/>
      <c r="CS38" s="51"/>
      <c r="CT38" s="12">
        <v>23.07</v>
      </c>
      <c r="CU38" s="12"/>
      <c r="CV38" s="12">
        <v>880.31</v>
      </c>
      <c r="CW38" s="12"/>
      <c r="CX38" s="142"/>
      <c r="CY38" s="40"/>
      <c r="CZ38" s="40"/>
      <c r="DA38" s="40"/>
      <c r="DB38" s="40"/>
      <c r="DC38" s="40"/>
      <c r="DD38" s="37"/>
      <c r="DE38" s="182"/>
      <c r="DF38" s="182"/>
      <c r="DG38" s="256"/>
      <c r="DH38" s="256"/>
      <c r="DI38" s="217">
        <f t="shared" si="4"/>
        <v>324400.1696</v>
      </c>
      <c r="DJ38" s="218">
        <f t="shared" si="4"/>
        <v>35041.896</v>
      </c>
      <c r="DK38" s="183">
        <f t="shared" si="5"/>
        <v>359442.06560000003</v>
      </c>
      <c r="DM38" s="195"/>
      <c r="DO38" s="195"/>
    </row>
    <row r="39" spans="1:115" s="1" customFormat="1" ht="19.5" thickBot="1">
      <c r="A39" s="249">
        <v>33</v>
      </c>
      <c r="B39" s="58" t="s">
        <v>54</v>
      </c>
      <c r="C39" s="61">
        <f aca="true" t="shared" si="7" ref="C39:BN39">SUM(C7:C38)</f>
        <v>12150467.760000004</v>
      </c>
      <c r="D39" s="59">
        <f t="shared" si="7"/>
        <v>1882985.2615000003</v>
      </c>
      <c r="E39" s="59">
        <f t="shared" si="7"/>
        <v>2665147.0727999997</v>
      </c>
      <c r="F39" s="59">
        <f t="shared" si="7"/>
        <v>451141.8353999999</v>
      </c>
      <c r="G39" s="59">
        <f t="shared" si="7"/>
        <v>0</v>
      </c>
      <c r="H39" s="59">
        <f t="shared" si="7"/>
        <v>33318</v>
      </c>
      <c r="I39" s="59">
        <f t="shared" si="7"/>
        <v>0</v>
      </c>
      <c r="J39" s="59">
        <f t="shared" si="7"/>
        <v>0</v>
      </c>
      <c r="K39" s="59">
        <f t="shared" si="7"/>
        <v>0</v>
      </c>
      <c r="L39" s="59">
        <f t="shared" si="7"/>
        <v>210969.54</v>
      </c>
      <c r="M39" s="59">
        <f t="shared" si="7"/>
        <v>0</v>
      </c>
      <c r="N39" s="59">
        <f t="shared" si="7"/>
        <v>0</v>
      </c>
      <c r="O39" s="59">
        <f t="shared" si="7"/>
        <v>0</v>
      </c>
      <c r="P39" s="59">
        <f t="shared" si="7"/>
        <v>0</v>
      </c>
      <c r="Q39" s="59">
        <f t="shared" si="7"/>
        <v>0</v>
      </c>
      <c r="R39" s="59">
        <f t="shared" si="7"/>
        <v>0</v>
      </c>
      <c r="S39" s="59">
        <f t="shared" si="7"/>
        <v>0</v>
      </c>
      <c r="T39" s="59">
        <f t="shared" si="7"/>
        <v>0</v>
      </c>
      <c r="U39" s="59">
        <f t="shared" si="7"/>
        <v>0</v>
      </c>
      <c r="V39" s="59">
        <f t="shared" si="7"/>
        <v>60332</v>
      </c>
      <c r="W39" s="59">
        <f t="shared" si="7"/>
        <v>0</v>
      </c>
      <c r="X39" s="59">
        <f t="shared" si="7"/>
        <v>0</v>
      </c>
      <c r="Y39" s="59">
        <f t="shared" si="7"/>
        <v>0</v>
      </c>
      <c r="Z39" s="59">
        <f t="shared" si="7"/>
        <v>0</v>
      </c>
      <c r="AA39" s="59">
        <f t="shared" si="7"/>
        <v>0</v>
      </c>
      <c r="AB39" s="59">
        <f t="shared" si="7"/>
        <v>304619.54</v>
      </c>
      <c r="AC39" s="60">
        <f t="shared" si="7"/>
        <v>304619.54</v>
      </c>
      <c r="AD39" s="60">
        <f t="shared" si="7"/>
        <v>0</v>
      </c>
      <c r="AE39" s="62">
        <f t="shared" si="7"/>
        <v>-137515.50000000003</v>
      </c>
      <c r="AF39" s="62">
        <f t="shared" si="7"/>
        <v>0</v>
      </c>
      <c r="AG39" s="59">
        <f t="shared" si="7"/>
        <v>2290.3</v>
      </c>
      <c r="AH39" s="59">
        <f t="shared" si="7"/>
        <v>0</v>
      </c>
      <c r="AI39" s="59">
        <f t="shared" si="7"/>
        <v>0</v>
      </c>
      <c r="AJ39" s="59">
        <f t="shared" si="7"/>
        <v>0</v>
      </c>
      <c r="AK39" s="261">
        <f t="shared" si="7"/>
        <v>0</v>
      </c>
      <c r="AL39" s="59">
        <f t="shared" si="7"/>
        <v>0</v>
      </c>
      <c r="AM39" s="59">
        <f t="shared" si="7"/>
        <v>0</v>
      </c>
      <c r="AN39" s="59">
        <f t="shared" si="7"/>
        <v>0</v>
      </c>
      <c r="AO39" s="59">
        <f t="shared" si="7"/>
        <v>43752</v>
      </c>
      <c r="AP39" s="59">
        <f t="shared" si="7"/>
        <v>0</v>
      </c>
      <c r="AQ39" s="59">
        <f t="shared" si="7"/>
        <v>0</v>
      </c>
      <c r="AR39" s="59">
        <f t="shared" si="7"/>
        <v>0</v>
      </c>
      <c r="AS39" s="59">
        <f t="shared" si="7"/>
        <v>0</v>
      </c>
      <c r="AT39" s="59">
        <f t="shared" si="7"/>
        <v>0</v>
      </c>
      <c r="AU39" s="59">
        <f t="shared" si="7"/>
        <v>0</v>
      </c>
      <c r="AV39" s="59">
        <f t="shared" si="7"/>
        <v>0</v>
      </c>
      <c r="AW39" s="59">
        <f t="shared" si="7"/>
        <v>0</v>
      </c>
      <c r="AX39" s="59">
        <f t="shared" si="7"/>
        <v>0</v>
      </c>
      <c r="AY39" s="261">
        <f t="shared" si="7"/>
        <v>0</v>
      </c>
      <c r="AZ39" s="59">
        <f t="shared" si="7"/>
        <v>0</v>
      </c>
      <c r="BA39" s="59">
        <f t="shared" si="7"/>
        <v>0</v>
      </c>
      <c r="BB39" s="59">
        <f t="shared" si="7"/>
        <v>0</v>
      </c>
      <c r="BC39" s="59">
        <f t="shared" si="7"/>
        <v>0</v>
      </c>
      <c r="BD39" s="59">
        <f t="shared" si="7"/>
        <v>0</v>
      </c>
      <c r="BE39" s="59">
        <f t="shared" si="7"/>
        <v>0</v>
      </c>
      <c r="BF39" s="59">
        <f t="shared" si="7"/>
        <v>0</v>
      </c>
      <c r="BG39" s="59">
        <f t="shared" si="7"/>
        <v>0</v>
      </c>
      <c r="BH39" s="59">
        <f t="shared" si="7"/>
        <v>0</v>
      </c>
      <c r="BI39" s="59">
        <f t="shared" si="7"/>
        <v>0</v>
      </c>
      <c r="BJ39" s="59">
        <f t="shared" si="7"/>
        <v>0</v>
      </c>
      <c r="BK39" s="59">
        <f t="shared" si="7"/>
        <v>0</v>
      </c>
      <c r="BL39" s="59">
        <f t="shared" si="7"/>
        <v>0</v>
      </c>
      <c r="BM39" s="59">
        <f t="shared" si="7"/>
        <v>0</v>
      </c>
      <c r="BN39" s="59">
        <f t="shared" si="7"/>
        <v>0</v>
      </c>
      <c r="BO39" s="59">
        <f aca="true" t="shared" si="8" ref="BO39:DK39">SUM(BO7:BO38)</f>
        <v>0</v>
      </c>
      <c r="BP39" s="59">
        <f t="shared" si="8"/>
        <v>0</v>
      </c>
      <c r="BQ39" s="59">
        <f t="shared" si="8"/>
        <v>0</v>
      </c>
      <c r="BR39" s="59">
        <f t="shared" si="8"/>
        <v>0</v>
      </c>
      <c r="BS39" s="59">
        <f t="shared" si="8"/>
        <v>0</v>
      </c>
      <c r="BT39" s="59">
        <f t="shared" si="8"/>
        <v>0</v>
      </c>
      <c r="BU39" s="59">
        <f t="shared" si="8"/>
        <v>0</v>
      </c>
      <c r="BV39" s="59">
        <f t="shared" si="8"/>
        <v>0</v>
      </c>
      <c r="BW39" s="59">
        <f t="shared" si="8"/>
        <v>0</v>
      </c>
      <c r="BX39" s="59">
        <f t="shared" si="8"/>
        <v>0</v>
      </c>
      <c r="BY39" s="59">
        <f t="shared" si="8"/>
        <v>0</v>
      </c>
      <c r="BZ39" s="59">
        <f t="shared" si="8"/>
        <v>0</v>
      </c>
      <c r="CA39" s="59">
        <f t="shared" si="8"/>
        <v>0</v>
      </c>
      <c r="CB39" s="59">
        <f t="shared" si="8"/>
        <v>0</v>
      </c>
      <c r="CC39" s="59">
        <f t="shared" si="8"/>
        <v>5030</v>
      </c>
      <c r="CD39" s="59">
        <f t="shared" si="8"/>
        <v>0</v>
      </c>
      <c r="CE39" s="59">
        <f t="shared" si="8"/>
        <v>0</v>
      </c>
      <c r="CF39" s="59">
        <f t="shared" si="8"/>
        <v>0</v>
      </c>
      <c r="CG39" s="59">
        <f t="shared" si="8"/>
        <v>0</v>
      </c>
      <c r="CH39" s="59">
        <f t="shared" si="8"/>
        <v>0</v>
      </c>
      <c r="CI39" s="59">
        <f t="shared" si="8"/>
        <v>0</v>
      </c>
      <c r="CJ39" s="59">
        <f t="shared" si="8"/>
        <v>0</v>
      </c>
      <c r="CK39" s="55">
        <f t="shared" si="8"/>
        <v>0</v>
      </c>
      <c r="CL39" s="45">
        <f t="shared" si="8"/>
        <v>0</v>
      </c>
      <c r="CM39" s="45">
        <f t="shared" si="8"/>
        <v>51072.299999999996</v>
      </c>
      <c r="CN39" s="45">
        <f t="shared" si="8"/>
        <v>51072.299999999996</v>
      </c>
      <c r="CO39" s="184">
        <f t="shared" si="8"/>
        <v>0</v>
      </c>
      <c r="CP39" s="238">
        <f t="shared" si="8"/>
        <v>2216</v>
      </c>
      <c r="CQ39" s="55">
        <f t="shared" si="8"/>
        <v>0</v>
      </c>
      <c r="CR39" s="45">
        <f t="shared" si="8"/>
        <v>-70588.06000000001</v>
      </c>
      <c r="CS39" s="238">
        <f t="shared" si="8"/>
        <v>0</v>
      </c>
      <c r="CT39" s="60">
        <f t="shared" si="8"/>
        <v>12840.35</v>
      </c>
      <c r="CU39" s="60">
        <f t="shared" si="8"/>
        <v>0</v>
      </c>
      <c r="CV39" s="60">
        <f t="shared" si="8"/>
        <v>97512.81000000001</v>
      </c>
      <c r="CW39" s="60">
        <f t="shared" si="8"/>
        <v>0</v>
      </c>
      <c r="CX39" s="62">
        <f t="shared" si="8"/>
        <v>0</v>
      </c>
      <c r="CY39" s="62">
        <f t="shared" si="8"/>
        <v>0</v>
      </c>
      <c r="CZ39" s="62">
        <f t="shared" si="8"/>
        <v>734.4</v>
      </c>
      <c r="DA39" s="62">
        <f>SUM(DA7:DA38)</f>
        <v>0</v>
      </c>
      <c r="DB39" s="62">
        <f t="shared" si="8"/>
        <v>0</v>
      </c>
      <c r="DC39" s="62">
        <f t="shared" si="8"/>
        <v>0</v>
      </c>
      <c r="DD39" s="45">
        <f t="shared" si="8"/>
        <v>13297.75</v>
      </c>
      <c r="DE39" s="55">
        <f t="shared" si="8"/>
        <v>0</v>
      </c>
      <c r="DF39" s="55">
        <f t="shared" si="8"/>
        <v>0</v>
      </c>
      <c r="DG39" s="55">
        <f t="shared" si="8"/>
        <v>0</v>
      </c>
      <c r="DH39" s="55">
        <f t="shared" si="8"/>
        <v>0</v>
      </c>
      <c r="DI39" s="55">
        <f>SUM(DI7:DI38)</f>
        <v>14815614.832800003</v>
      </c>
      <c r="DJ39" s="45">
        <f t="shared" si="8"/>
        <v>2608316.6869000006</v>
      </c>
      <c r="DK39" s="238">
        <f t="shared" si="8"/>
        <v>17423931.519700002</v>
      </c>
    </row>
    <row r="40" spans="1:115" ht="19.5" thickBot="1">
      <c r="A40" s="161">
        <v>34</v>
      </c>
      <c r="B40" s="162" t="s">
        <v>55</v>
      </c>
      <c r="C40" s="162"/>
      <c r="D40" s="162"/>
      <c r="E40" s="162"/>
      <c r="F40" s="197"/>
      <c r="G40" s="197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3"/>
      <c r="AA40" s="245">
        <f>C40+E40+G40+I40+K40+M40+O40+Q40+S40+U40+W40+Y40</f>
        <v>0</v>
      </c>
      <c r="AB40" s="245">
        <f>D40+F40+H40+J40+L40+N40+P40+R40+T40+V40+X40+Z40</f>
        <v>0</v>
      </c>
      <c r="AC40" s="245">
        <f>AA40+AB40</f>
        <v>0</v>
      </c>
      <c r="AD40" s="164"/>
      <c r="AE40" s="165"/>
      <c r="AF40" s="239"/>
      <c r="AG40" s="248"/>
      <c r="AH40" s="171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7"/>
      <c r="CK40" s="169"/>
      <c r="CL40" s="166">
        <f>AF40+AH40+AJ40+AL40+AN40+AP40+AR40+AT40+AV40+AX40+AZ40+BB40+BD40+BF40+BH40+BJ40+BL40+BN40+BP40+BR40+BT40+BV40+BX40+BZ40+CB40+CD40+CF40+CH40+CJ40</f>
        <v>0</v>
      </c>
      <c r="CM40" s="170">
        <f>AG40+AI40+AK40+AM40+AO40+AQ40+AS40+AU40+AW40+AY40+BA40+BC40+BE40+BG40+BI40+BK40+BM40+BO40+BQ40+BS40+BU40+BW40+BY40+CA40+CC40+CE40+CG40+CI40+CK40</f>
        <v>0</v>
      </c>
      <c r="CN40" s="166">
        <f t="shared" si="3"/>
        <v>0</v>
      </c>
      <c r="CO40" s="168"/>
      <c r="CP40" s="170"/>
      <c r="CQ40" s="257"/>
      <c r="CR40" s="166"/>
      <c r="CS40" s="170"/>
      <c r="CT40" s="167"/>
      <c r="CU40" s="167"/>
      <c r="CV40" s="167"/>
      <c r="CW40" s="167"/>
      <c r="CX40" s="165"/>
      <c r="CY40" s="168"/>
      <c r="CZ40" s="168"/>
      <c r="DA40" s="168"/>
      <c r="DB40" s="168"/>
      <c r="DC40" s="168"/>
      <c r="DD40" s="166"/>
      <c r="DE40" s="169"/>
      <c r="DF40" s="169"/>
      <c r="DG40" s="169"/>
      <c r="DH40" s="169"/>
      <c r="DI40" s="166">
        <f>C40+E40+AA40+AD40+CL40+CO40+CQ40+CS40+CU40+CW40+CY40+DA40+DC40+DE40+DG40</f>
        <v>0</v>
      </c>
      <c r="DJ40" s="166">
        <f>D40+F40+AB40+AE40+CM40+CP40+CR40+CT40+CV40+CX40+CZ40+DB40+DD40+DF40+DH40</f>
        <v>0</v>
      </c>
      <c r="DK40" s="185">
        <f>DI40+DJ40</f>
        <v>0</v>
      </c>
    </row>
    <row r="41" spans="1:115" ht="19.5" hidden="1" thickBot="1">
      <c r="A41" s="56">
        <v>42</v>
      </c>
      <c r="B41" s="56" t="s">
        <v>56</v>
      </c>
      <c r="C41" s="228"/>
      <c r="D41" s="198">
        <f>D42+D43</f>
        <v>0</v>
      </c>
      <c r="E41" s="198"/>
      <c r="F41" s="198">
        <f>F42+F43</f>
        <v>0</v>
      </c>
      <c r="G41" s="198"/>
      <c r="H41" s="67">
        <f>H42+H43</f>
        <v>0</v>
      </c>
      <c r="I41" s="67"/>
      <c r="J41" s="67">
        <f>J42+J43</f>
        <v>0</v>
      </c>
      <c r="K41" s="67"/>
      <c r="L41" s="67">
        <f>L42+L43</f>
        <v>0</v>
      </c>
      <c r="M41" s="67"/>
      <c r="N41" s="67">
        <f>N42+N43</f>
        <v>0</v>
      </c>
      <c r="O41" s="67"/>
      <c r="P41" s="67">
        <f>P42+P43</f>
        <v>0</v>
      </c>
      <c r="Q41" s="67"/>
      <c r="R41" s="67">
        <f>R42+R43</f>
        <v>0</v>
      </c>
      <c r="S41" s="67"/>
      <c r="T41" s="67">
        <f>T42+T43</f>
        <v>0</v>
      </c>
      <c r="U41" s="67"/>
      <c r="V41" s="67">
        <f>V42+V43</f>
        <v>0</v>
      </c>
      <c r="W41" s="67"/>
      <c r="X41" s="67">
        <f>X42+X43</f>
        <v>0</v>
      </c>
      <c r="Y41" s="67"/>
      <c r="Z41" s="67">
        <f>Z42+Z43</f>
        <v>0</v>
      </c>
      <c r="AA41" s="68"/>
      <c r="AB41" s="68"/>
      <c r="AC41" s="68">
        <f>AC42+AC43</f>
        <v>0</v>
      </c>
      <c r="AD41" s="68"/>
      <c r="AE41" s="69">
        <f>AE42+AE43</f>
        <v>0</v>
      </c>
      <c r="AF41" s="209"/>
      <c r="AG41" s="246">
        <f>AG42+AG43</f>
        <v>0</v>
      </c>
      <c r="AH41" s="228"/>
      <c r="AI41" s="67">
        <f>AI42+AI43</f>
        <v>0</v>
      </c>
      <c r="AJ41" s="67"/>
      <c r="AK41" s="67">
        <f>AK42+AK43</f>
        <v>0</v>
      </c>
      <c r="AL41" s="67"/>
      <c r="AM41" s="67">
        <f>AM42+AM43</f>
        <v>0</v>
      </c>
      <c r="AN41" s="67"/>
      <c r="AO41" s="67">
        <f>AO42+AO43</f>
        <v>0</v>
      </c>
      <c r="AP41" s="67"/>
      <c r="AQ41" s="67">
        <f>AQ42+AQ43</f>
        <v>0</v>
      </c>
      <c r="AR41" s="67"/>
      <c r="AS41" s="67">
        <f>AS42+AS43</f>
        <v>0</v>
      </c>
      <c r="AT41" s="67"/>
      <c r="AU41" s="67">
        <f>AU42+AU43</f>
        <v>0</v>
      </c>
      <c r="AV41" s="67"/>
      <c r="AW41" s="67">
        <f>AW42+AW43</f>
        <v>0</v>
      </c>
      <c r="AX41" s="67"/>
      <c r="AY41" s="67">
        <f>AY42+AY43</f>
        <v>0</v>
      </c>
      <c r="AZ41" s="67"/>
      <c r="BA41" s="67">
        <f>BA42+BA43</f>
        <v>0</v>
      </c>
      <c r="BB41" s="67"/>
      <c r="BC41" s="67">
        <f>BC42+BC43</f>
        <v>0</v>
      </c>
      <c r="BD41" s="67"/>
      <c r="BE41" s="67">
        <f>BE42+BE43</f>
        <v>0</v>
      </c>
      <c r="BF41" s="67"/>
      <c r="BG41" s="67">
        <f>BG42+BG43</f>
        <v>0</v>
      </c>
      <c r="BH41" s="67"/>
      <c r="BI41" s="67">
        <f>BI42+BI43</f>
        <v>0</v>
      </c>
      <c r="BJ41" s="67"/>
      <c r="BK41" s="67">
        <f>BK42+BK43</f>
        <v>0</v>
      </c>
      <c r="BL41" s="67"/>
      <c r="BM41" s="67">
        <f>BM42+BM43</f>
        <v>0</v>
      </c>
      <c r="BN41" s="67"/>
      <c r="BO41" s="67">
        <f>BO42+BO43</f>
        <v>0</v>
      </c>
      <c r="BP41" s="67"/>
      <c r="BQ41" s="67">
        <f>BQ42+BQ43</f>
        <v>0</v>
      </c>
      <c r="BR41" s="67"/>
      <c r="BS41" s="67">
        <f>BS42+BS43</f>
        <v>0</v>
      </c>
      <c r="BT41" s="67"/>
      <c r="BU41" s="67">
        <f>BU42+BU43</f>
        <v>0</v>
      </c>
      <c r="BV41" s="67"/>
      <c r="BW41" s="67">
        <f>BW42+BW43</f>
        <v>0</v>
      </c>
      <c r="BX41" s="67"/>
      <c r="BY41" s="67">
        <f>BY42+BY43</f>
        <v>0</v>
      </c>
      <c r="BZ41" s="67"/>
      <c r="CA41" s="67">
        <f>CA42+CA43</f>
        <v>0</v>
      </c>
      <c r="CB41" s="67"/>
      <c r="CC41" s="67">
        <f>CC42+CC43</f>
        <v>0</v>
      </c>
      <c r="CD41" s="67"/>
      <c r="CE41" s="67">
        <f>CE42+CE43</f>
        <v>0</v>
      </c>
      <c r="CF41" s="67"/>
      <c r="CG41" s="67">
        <f>CG42+CG43</f>
        <v>0</v>
      </c>
      <c r="CH41" s="67"/>
      <c r="CI41" s="67">
        <f>CI42+CI43</f>
        <v>0</v>
      </c>
      <c r="CJ41" s="68"/>
      <c r="CK41" s="56">
        <f>CK42+CK43</f>
        <v>0</v>
      </c>
      <c r="CL41" s="47"/>
      <c r="CM41" s="228"/>
      <c r="CN41" s="47">
        <f>CN42+CN43</f>
        <v>0</v>
      </c>
      <c r="CO41" s="209"/>
      <c r="CP41" s="228">
        <f>CP42+CP43</f>
        <v>0</v>
      </c>
      <c r="CQ41" s="47"/>
      <c r="CR41" s="47"/>
      <c r="CS41" s="228"/>
      <c r="CT41" s="68">
        <f>CT42+CT43</f>
        <v>0</v>
      </c>
      <c r="CU41" s="68"/>
      <c r="CV41" s="68">
        <f>CV42+CV43</f>
        <v>0</v>
      </c>
      <c r="CW41" s="68"/>
      <c r="CX41" s="69">
        <f>CX42+CX43</f>
        <v>0</v>
      </c>
      <c r="CY41" s="209"/>
      <c r="CZ41" s="209"/>
      <c r="DA41" s="209"/>
      <c r="DB41" s="209"/>
      <c r="DC41" s="209"/>
      <c r="DD41" s="47">
        <f>DD42+DD43</f>
        <v>0</v>
      </c>
      <c r="DE41" s="56"/>
      <c r="DF41" s="56">
        <f>DF42+DF43</f>
        <v>0</v>
      </c>
      <c r="DG41" s="56"/>
      <c r="DH41" s="56">
        <f>DH42+DH43</f>
        <v>0</v>
      </c>
      <c r="DI41" s="47"/>
      <c r="DJ41" s="47"/>
      <c r="DK41" s="194" t="e">
        <f>DK42+DK43</f>
        <v>#REF!</v>
      </c>
    </row>
    <row r="42" spans="1:119" ht="19.5" hidden="1" thickBot="1">
      <c r="A42" s="63">
        <v>43</v>
      </c>
      <c r="B42" s="63" t="s">
        <v>34</v>
      </c>
      <c r="C42" s="63"/>
      <c r="D42" s="151"/>
      <c r="E42" s="151"/>
      <c r="F42" s="151"/>
      <c r="G42" s="151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18"/>
      <c r="AB42" s="118"/>
      <c r="AC42" s="118">
        <f>SUM(H42:Z42)</f>
        <v>0</v>
      </c>
      <c r="AD42" s="118"/>
      <c r="AE42" s="128"/>
      <c r="AF42" s="52"/>
      <c r="AG42" s="66"/>
      <c r="AH42" s="66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5"/>
      <c r="CK42" s="173"/>
      <c r="CL42" s="46"/>
      <c r="CM42" s="52"/>
      <c r="CN42" s="46">
        <f>SUM(AG42:CK42)</f>
        <v>0</v>
      </c>
      <c r="CO42" s="48"/>
      <c r="CP42" s="52"/>
      <c r="CQ42" s="46"/>
      <c r="CR42" s="46"/>
      <c r="CS42" s="52"/>
      <c r="CT42" s="65"/>
      <c r="CU42" s="65"/>
      <c r="CV42" s="65"/>
      <c r="CW42" s="65"/>
      <c r="CX42" s="128"/>
      <c r="CY42" s="48"/>
      <c r="CZ42" s="48"/>
      <c r="DA42" s="48"/>
      <c r="DB42" s="48"/>
      <c r="DC42" s="48"/>
      <c r="DD42" s="46"/>
      <c r="DE42" s="173"/>
      <c r="DF42" s="173"/>
      <c r="DG42" s="173"/>
      <c r="DH42" s="173"/>
      <c r="DI42" s="46"/>
      <c r="DJ42" s="46"/>
      <c r="DK42" s="183" t="e">
        <f>D42+F42+AC42+AE42+CN42+CP42+CR42+CT42+CV42+#REF!+CX42+DD42+DF42</f>
        <v>#REF!</v>
      </c>
      <c r="DL42" s="3"/>
      <c r="DM42" s="3"/>
      <c r="DN42" s="3"/>
      <c r="DO42" s="3"/>
    </row>
    <row r="43" spans="1:115" ht="19.5" hidden="1" thickBot="1">
      <c r="A43" s="4">
        <v>44</v>
      </c>
      <c r="B43" s="4" t="s">
        <v>5</v>
      </c>
      <c r="C43" s="4"/>
      <c r="D43" s="199"/>
      <c r="E43" s="199"/>
      <c r="F43" s="199"/>
      <c r="G43" s="19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2"/>
      <c r="AA43" s="230"/>
      <c r="AB43" s="230"/>
      <c r="AC43" s="118">
        <f>SUM(H43:Z43)</f>
        <v>0</v>
      </c>
      <c r="AD43" s="236"/>
      <c r="AE43" s="129"/>
      <c r="AF43" s="27"/>
      <c r="AG43" s="126"/>
      <c r="AH43" s="126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70"/>
      <c r="CK43" s="251"/>
      <c r="CL43" s="252"/>
      <c r="CM43" s="250"/>
      <c r="CN43" s="46">
        <f>SUM(AG43:CK43)</f>
        <v>0</v>
      </c>
      <c r="CO43" s="253"/>
      <c r="CP43" s="237"/>
      <c r="CQ43" s="71"/>
      <c r="CR43" s="157"/>
      <c r="CS43" s="27"/>
      <c r="CT43" s="26"/>
      <c r="CU43" s="26"/>
      <c r="CV43" s="26"/>
      <c r="CW43" s="26"/>
      <c r="CX43" s="129"/>
      <c r="CY43" s="72"/>
      <c r="CZ43" s="72"/>
      <c r="DA43" s="72"/>
      <c r="DB43" s="72"/>
      <c r="DC43" s="72"/>
      <c r="DD43" s="157"/>
      <c r="DE43" s="178"/>
      <c r="DF43" s="178"/>
      <c r="DG43" s="235"/>
      <c r="DH43" s="235"/>
      <c r="DI43" s="208"/>
      <c r="DJ43" s="208"/>
      <c r="DK43" s="186" t="e">
        <f>D43+F43+AC43+AE43+CN43+CP43+CR43+CT43+CV43+#REF!+CX43+DD43+DF43</f>
        <v>#REF!</v>
      </c>
    </row>
    <row r="44" spans="1:115" ht="38.25" hidden="1" thickBot="1">
      <c r="A44" s="76">
        <v>45</v>
      </c>
      <c r="B44" s="77" t="s">
        <v>72</v>
      </c>
      <c r="C44" s="77"/>
      <c r="D44" s="200"/>
      <c r="E44" s="200"/>
      <c r="F44" s="200"/>
      <c r="G44" s="200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7"/>
      <c r="AA44" s="119"/>
      <c r="AB44" s="119"/>
      <c r="AC44" s="119">
        <f>SUM(H44:Z44)</f>
        <v>0</v>
      </c>
      <c r="AD44" s="119"/>
      <c r="AE44" s="130"/>
      <c r="AF44" s="82"/>
      <c r="AG44" s="80"/>
      <c r="AH44" s="81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9"/>
      <c r="CK44" s="174"/>
      <c r="CL44" s="80"/>
      <c r="CM44" s="81"/>
      <c r="CN44" s="80">
        <f>SUM(AG44:CK44)</f>
        <v>0</v>
      </c>
      <c r="CO44" s="82"/>
      <c r="CP44" s="81"/>
      <c r="CQ44" s="80"/>
      <c r="CR44" s="80"/>
      <c r="CS44" s="81"/>
      <c r="CT44" s="79"/>
      <c r="CU44" s="79"/>
      <c r="CV44" s="79"/>
      <c r="CW44" s="79"/>
      <c r="CX44" s="130"/>
      <c r="CY44" s="82"/>
      <c r="CZ44" s="82"/>
      <c r="DA44" s="82"/>
      <c r="DB44" s="82"/>
      <c r="DC44" s="82"/>
      <c r="DD44" s="80"/>
      <c r="DE44" s="174"/>
      <c r="DF44" s="174"/>
      <c r="DG44" s="174"/>
      <c r="DH44" s="174"/>
      <c r="DI44" s="80"/>
      <c r="DJ44" s="80"/>
      <c r="DK44" s="187" t="e">
        <f>D44+F44+AC44+AE44+CN44+CP44+CR44+CT44+CV44+#REF!+CX44+DD44+DF44+DH44</f>
        <v>#REF!</v>
      </c>
    </row>
    <row r="45" spans="1:115" s="25" customFormat="1" ht="19.5" hidden="1" thickBot="1">
      <c r="A45" s="143">
        <v>46</v>
      </c>
      <c r="B45" s="144">
        <v>611161</v>
      </c>
      <c r="C45" s="144"/>
      <c r="D45" s="204">
        <f aca="true" t="shared" si="9" ref="D45:BE45">D46+D47+D48</f>
        <v>0</v>
      </c>
      <c r="E45" s="204"/>
      <c r="F45" s="204">
        <f t="shared" si="9"/>
        <v>0</v>
      </c>
      <c r="G45" s="204"/>
      <c r="H45" s="145">
        <f t="shared" si="9"/>
        <v>0</v>
      </c>
      <c r="I45" s="145"/>
      <c r="J45" s="145">
        <f t="shared" si="9"/>
        <v>0</v>
      </c>
      <c r="K45" s="145"/>
      <c r="L45" s="145">
        <f t="shared" si="9"/>
        <v>0</v>
      </c>
      <c r="M45" s="145"/>
      <c r="N45" s="145">
        <f t="shared" si="9"/>
        <v>0</v>
      </c>
      <c r="O45" s="145"/>
      <c r="P45" s="145">
        <f t="shared" si="9"/>
        <v>0</v>
      </c>
      <c r="Q45" s="145"/>
      <c r="R45" s="145">
        <f t="shared" si="9"/>
        <v>0</v>
      </c>
      <c r="S45" s="145"/>
      <c r="T45" s="145">
        <f t="shared" si="9"/>
        <v>0</v>
      </c>
      <c r="U45" s="145"/>
      <c r="V45" s="145">
        <f t="shared" si="9"/>
        <v>0</v>
      </c>
      <c r="W45" s="145"/>
      <c r="X45" s="145">
        <f t="shared" si="9"/>
        <v>0</v>
      </c>
      <c r="Y45" s="145"/>
      <c r="Z45" s="145">
        <f t="shared" si="9"/>
        <v>0</v>
      </c>
      <c r="AA45" s="146"/>
      <c r="AB45" s="146"/>
      <c r="AC45" s="146">
        <f t="shared" si="9"/>
        <v>0</v>
      </c>
      <c r="AD45" s="146"/>
      <c r="AE45" s="147">
        <f t="shared" si="9"/>
        <v>0</v>
      </c>
      <c r="AF45" s="240"/>
      <c r="AG45" s="172">
        <f t="shared" si="9"/>
        <v>0</v>
      </c>
      <c r="AH45" s="242"/>
      <c r="AI45" s="145">
        <f t="shared" si="9"/>
        <v>0</v>
      </c>
      <c r="AJ45" s="145"/>
      <c r="AK45" s="145">
        <f t="shared" si="9"/>
        <v>0</v>
      </c>
      <c r="AL45" s="145"/>
      <c r="AM45" s="145">
        <f t="shared" si="9"/>
        <v>0</v>
      </c>
      <c r="AN45" s="145"/>
      <c r="AO45" s="145">
        <f t="shared" si="9"/>
        <v>0</v>
      </c>
      <c r="AP45" s="145"/>
      <c r="AQ45" s="145">
        <f t="shared" si="9"/>
        <v>0</v>
      </c>
      <c r="AR45" s="145"/>
      <c r="AS45" s="145">
        <f t="shared" si="9"/>
        <v>0</v>
      </c>
      <c r="AT45" s="145"/>
      <c r="AU45" s="145">
        <f t="shared" si="9"/>
        <v>0</v>
      </c>
      <c r="AV45" s="145"/>
      <c r="AW45" s="145">
        <f t="shared" si="9"/>
        <v>0</v>
      </c>
      <c r="AX45" s="145"/>
      <c r="AY45" s="145">
        <f t="shared" si="9"/>
        <v>0</v>
      </c>
      <c r="AZ45" s="145"/>
      <c r="BA45" s="145">
        <f t="shared" si="9"/>
        <v>0</v>
      </c>
      <c r="BB45" s="145"/>
      <c r="BC45" s="145">
        <f t="shared" si="9"/>
        <v>0</v>
      </c>
      <c r="BD45" s="145"/>
      <c r="BE45" s="145">
        <f t="shared" si="9"/>
        <v>0</v>
      </c>
      <c r="BF45" s="145"/>
      <c r="BG45" s="145">
        <f>BG46+BG47+BG48</f>
        <v>0</v>
      </c>
      <c r="BH45" s="145"/>
      <c r="BI45" s="145">
        <f>BI46+BI47+BI48</f>
        <v>0</v>
      </c>
      <c r="BJ45" s="145"/>
      <c r="BK45" s="145">
        <f>BK46+BK47+BK48</f>
        <v>0</v>
      </c>
      <c r="BL45" s="145"/>
      <c r="BM45" s="145">
        <f>BM46+BM47+BM48</f>
        <v>0</v>
      </c>
      <c r="BN45" s="145"/>
      <c r="BO45" s="145">
        <f>BO46+BO47+BO48</f>
        <v>0</v>
      </c>
      <c r="BP45" s="145"/>
      <c r="BQ45" s="145">
        <f>BQ46+BQ47+BQ48</f>
        <v>0</v>
      </c>
      <c r="BR45" s="145"/>
      <c r="BS45" s="145">
        <f>BS46+BS47+BS48</f>
        <v>0</v>
      </c>
      <c r="BT45" s="145"/>
      <c r="BU45" s="145">
        <f>BU46+BU47+BU48</f>
        <v>0</v>
      </c>
      <c r="BV45" s="145"/>
      <c r="BW45" s="145">
        <f>BW46+BW47+BW48</f>
        <v>0</v>
      </c>
      <c r="BX45" s="145"/>
      <c r="BY45" s="145">
        <f>BY46+BY47+BY48</f>
        <v>0</v>
      </c>
      <c r="BZ45" s="145"/>
      <c r="CA45" s="145">
        <f>CA46+CA47+CA48</f>
        <v>0</v>
      </c>
      <c r="CB45" s="145"/>
      <c r="CC45" s="145">
        <f>CC46+CC47+CC48</f>
        <v>0</v>
      </c>
      <c r="CD45" s="145"/>
      <c r="CE45" s="145">
        <f>CE46+CE47+CE48</f>
        <v>0</v>
      </c>
      <c r="CF45" s="145"/>
      <c r="CG45" s="145">
        <f>CG46+CG47+CG48</f>
        <v>0</v>
      </c>
      <c r="CH45" s="145"/>
      <c r="CI45" s="145">
        <f>CI46+CI47+CI48</f>
        <v>0</v>
      </c>
      <c r="CJ45" s="146"/>
      <c r="CK45" s="75">
        <f>CK46+CK47+CK48</f>
        <v>0</v>
      </c>
      <c r="CL45" s="74"/>
      <c r="CM45" s="148"/>
      <c r="CN45" s="74">
        <f>CN46+CN47+CN48</f>
        <v>0</v>
      </c>
      <c r="CO45" s="210"/>
      <c r="CP45" s="148">
        <f>CP46+CP47+CP48</f>
        <v>0</v>
      </c>
      <c r="CQ45" s="74"/>
      <c r="CR45" s="74"/>
      <c r="CS45" s="240"/>
      <c r="CT45" s="73">
        <f>CT46+CT47+CT48</f>
        <v>0</v>
      </c>
      <c r="CU45" s="73"/>
      <c r="CV45" s="73">
        <f>CV46+CV47+CV48</f>
        <v>0</v>
      </c>
      <c r="CW45" s="73"/>
      <c r="CX45" s="149">
        <f>CX46+CX47+CX48</f>
        <v>0</v>
      </c>
      <c r="CY45" s="211"/>
      <c r="CZ45" s="211"/>
      <c r="DA45" s="211"/>
      <c r="DB45" s="211"/>
      <c r="DC45" s="211"/>
      <c r="DD45" s="74">
        <f>DD46+DD47+DD48</f>
        <v>0</v>
      </c>
      <c r="DE45" s="75"/>
      <c r="DF45" s="75">
        <f>DF46+DF47+DF48</f>
        <v>0</v>
      </c>
      <c r="DG45" s="75"/>
      <c r="DH45" s="75">
        <f>DH46+DH47+DH48</f>
        <v>0</v>
      </c>
      <c r="DI45" s="74"/>
      <c r="DJ45" s="74"/>
      <c r="DK45" s="206" t="e">
        <f>DK46+DK47+DK48</f>
        <v>#REF!</v>
      </c>
    </row>
    <row r="46" spans="1:115" ht="19.5" hidden="1" thickBot="1">
      <c r="A46" s="83">
        <v>47</v>
      </c>
      <c r="B46" s="84">
        <v>70804</v>
      </c>
      <c r="C46" s="84"/>
      <c r="D46" s="196"/>
      <c r="E46" s="196"/>
      <c r="F46" s="196"/>
      <c r="G46" s="196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4"/>
      <c r="AA46" s="120"/>
      <c r="AB46" s="120"/>
      <c r="AC46" s="120">
        <f>SUM(H46:Z46)</f>
        <v>0</v>
      </c>
      <c r="AD46" s="120"/>
      <c r="AE46" s="131"/>
      <c r="AF46" s="241"/>
      <c r="AG46" s="156"/>
      <c r="AH46" s="243"/>
      <c r="AI46" s="87"/>
      <c r="AJ46" s="87"/>
      <c r="AK46" s="85"/>
      <c r="AL46" s="85"/>
      <c r="AM46" s="85"/>
      <c r="AN46" s="85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6"/>
      <c r="BJ46" s="86"/>
      <c r="BK46" s="87"/>
      <c r="BL46" s="87"/>
      <c r="BM46" s="86"/>
      <c r="BN46" s="86"/>
      <c r="BO46" s="87"/>
      <c r="BP46" s="87"/>
      <c r="BQ46" s="87"/>
      <c r="BR46" s="87"/>
      <c r="BS46" s="87"/>
      <c r="BT46" s="87"/>
      <c r="BU46" s="87"/>
      <c r="BV46" s="87"/>
      <c r="BW46" s="85"/>
      <c r="BX46" s="85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8"/>
      <c r="CK46" s="175"/>
      <c r="CL46" s="49"/>
      <c r="CM46" s="115"/>
      <c r="CN46" s="207">
        <f>SUM(AG46:CK46)</f>
        <v>0</v>
      </c>
      <c r="CO46" s="254"/>
      <c r="CP46" s="255"/>
      <c r="CQ46" s="258"/>
      <c r="CR46" s="49"/>
      <c r="CS46" s="115"/>
      <c r="CT46" s="29"/>
      <c r="CU46" s="29"/>
      <c r="CV46" s="29"/>
      <c r="CW46" s="29"/>
      <c r="CX46" s="141"/>
      <c r="CY46" s="212"/>
      <c r="CZ46" s="212"/>
      <c r="DA46" s="212"/>
      <c r="DB46" s="212"/>
      <c r="DC46" s="212"/>
      <c r="DD46" s="49"/>
      <c r="DE46" s="175"/>
      <c r="DF46" s="175"/>
      <c r="DG46" s="175"/>
      <c r="DH46" s="175"/>
      <c r="DI46" s="49"/>
      <c r="DJ46" s="49"/>
      <c r="DK46" s="188" t="e">
        <f>D46+F46+AC46+AE46+CN46+CP46+CR46+CT46+CV46+#REF!+CX46+DD46+DF46+DH46</f>
        <v>#REF!</v>
      </c>
    </row>
    <row r="47" spans="1:115" ht="19.5" hidden="1" thickBot="1">
      <c r="A47" s="15">
        <v>48</v>
      </c>
      <c r="B47" s="16">
        <v>70805</v>
      </c>
      <c r="C47" s="16"/>
      <c r="D47" s="202"/>
      <c r="E47" s="202"/>
      <c r="F47" s="202"/>
      <c r="G47" s="20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21"/>
      <c r="AB47" s="121"/>
      <c r="AC47" s="121">
        <f>SUM(H47:Z47)</f>
        <v>0</v>
      </c>
      <c r="AD47" s="121"/>
      <c r="AE47" s="132"/>
      <c r="AF47" s="53"/>
      <c r="AG47" s="34"/>
      <c r="AH47" s="34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30"/>
      <c r="CK47" s="176"/>
      <c r="CL47" s="38"/>
      <c r="CM47" s="53"/>
      <c r="CN47" s="38">
        <f>SUM(AG47:CK47)</f>
        <v>0</v>
      </c>
      <c r="CO47" s="41"/>
      <c r="CP47" s="53"/>
      <c r="CQ47" s="38"/>
      <c r="CR47" s="38"/>
      <c r="CS47" s="53"/>
      <c r="CT47" s="30"/>
      <c r="CU47" s="30"/>
      <c r="CV47" s="30"/>
      <c r="CW47" s="30"/>
      <c r="CX47" s="132"/>
      <c r="CY47" s="41"/>
      <c r="CZ47" s="41"/>
      <c r="DA47" s="41"/>
      <c r="DB47" s="41"/>
      <c r="DC47" s="41"/>
      <c r="DD47" s="38"/>
      <c r="DE47" s="176"/>
      <c r="DF47" s="176"/>
      <c r="DG47" s="176"/>
      <c r="DH47" s="176"/>
      <c r="DI47" s="38"/>
      <c r="DJ47" s="38"/>
      <c r="DK47" s="189" t="e">
        <f>D47+F47+AC47+AE47+CN47+CP47+CR47+CT47+CV47+#REF!+CX47+DD47+DF47+DH47</f>
        <v>#REF!</v>
      </c>
    </row>
    <row r="48" spans="1:115" ht="19.5" hidden="1" thickBot="1">
      <c r="A48" s="17">
        <v>49</v>
      </c>
      <c r="B48" s="17">
        <v>70806</v>
      </c>
      <c r="C48" s="17"/>
      <c r="D48" s="17">
        <f>D49+D50</f>
        <v>0</v>
      </c>
      <c r="E48" s="17"/>
      <c r="F48" s="205">
        <f>F49+F50</f>
        <v>0</v>
      </c>
      <c r="G48" s="205"/>
      <c r="H48" s="17">
        <f>H49+H50</f>
        <v>0</v>
      </c>
      <c r="I48" s="17"/>
      <c r="J48" s="17">
        <f>J49+J50</f>
        <v>0</v>
      </c>
      <c r="K48" s="17"/>
      <c r="L48" s="17">
        <f>L49+L50</f>
        <v>0</v>
      </c>
      <c r="M48" s="17"/>
      <c r="N48" s="17">
        <f>N49+N50</f>
        <v>0</v>
      </c>
      <c r="O48" s="17"/>
      <c r="P48" s="17">
        <f>P49+P50</f>
        <v>0</v>
      </c>
      <c r="Q48" s="17"/>
      <c r="R48" s="17">
        <f>R49+R50</f>
        <v>0</v>
      </c>
      <c r="S48" s="17"/>
      <c r="T48" s="17">
        <f>T49+T50</f>
        <v>0</v>
      </c>
      <c r="U48" s="17"/>
      <c r="V48" s="17">
        <f>V49+V50</f>
        <v>0</v>
      </c>
      <c r="W48" s="17"/>
      <c r="X48" s="17">
        <f>X49+X50</f>
        <v>0</v>
      </c>
      <c r="Y48" s="17"/>
      <c r="Z48" s="17">
        <f>Z49+Z50</f>
        <v>0</v>
      </c>
      <c r="AA48" s="31"/>
      <c r="AB48" s="31"/>
      <c r="AC48" s="31">
        <f>AC49+AC50</f>
        <v>0</v>
      </c>
      <c r="AD48" s="31"/>
      <c r="AE48" s="133">
        <f>AE49+AE50</f>
        <v>0</v>
      </c>
      <c r="AF48" s="54"/>
      <c r="AG48" s="35">
        <f>AG49+AG50</f>
        <v>0</v>
      </c>
      <c r="AH48" s="35"/>
      <c r="AI48" s="17">
        <f>AI49+AI50</f>
        <v>0</v>
      </c>
      <c r="AJ48" s="17"/>
      <c r="AK48" s="17">
        <f>AK49+AK50</f>
        <v>0</v>
      </c>
      <c r="AL48" s="17"/>
      <c r="AM48" s="17">
        <f>AM49+AM50</f>
        <v>0</v>
      </c>
      <c r="AN48" s="17"/>
      <c r="AO48" s="17">
        <f>AO49+AO50</f>
        <v>0</v>
      </c>
      <c r="AP48" s="17"/>
      <c r="AQ48" s="17">
        <f>AQ49+AQ50</f>
        <v>0</v>
      </c>
      <c r="AR48" s="17"/>
      <c r="AS48" s="17">
        <f>AS49+AS50</f>
        <v>0</v>
      </c>
      <c r="AT48" s="17"/>
      <c r="AU48" s="17">
        <f>AU49+AU50</f>
        <v>0</v>
      </c>
      <c r="AV48" s="17"/>
      <c r="AW48" s="17">
        <f>AW49+AW50</f>
        <v>0</v>
      </c>
      <c r="AX48" s="17"/>
      <c r="AY48" s="17">
        <f>AY49+AY50</f>
        <v>0</v>
      </c>
      <c r="AZ48" s="17"/>
      <c r="BA48" s="17">
        <f>BA49+BA50</f>
        <v>0</v>
      </c>
      <c r="BB48" s="17"/>
      <c r="BC48" s="17">
        <f>BC49+BC50</f>
        <v>0</v>
      </c>
      <c r="BD48" s="17"/>
      <c r="BE48" s="17">
        <f>BE49+BE50</f>
        <v>0</v>
      </c>
      <c r="BF48" s="17"/>
      <c r="BG48" s="17">
        <f>BG49+BG50</f>
        <v>0</v>
      </c>
      <c r="BH48" s="17"/>
      <c r="BI48" s="17">
        <f>BI49+BI50</f>
        <v>0</v>
      </c>
      <c r="BJ48" s="17"/>
      <c r="BK48" s="17">
        <f>BK49+BK50</f>
        <v>0</v>
      </c>
      <c r="BL48" s="17"/>
      <c r="BM48" s="17">
        <f>BM49+BM50</f>
        <v>0</v>
      </c>
      <c r="BN48" s="17"/>
      <c r="BO48" s="17">
        <f>BO49+BO50</f>
        <v>0</v>
      </c>
      <c r="BP48" s="17"/>
      <c r="BQ48" s="17">
        <f>BQ49+BQ50</f>
        <v>0</v>
      </c>
      <c r="BR48" s="17"/>
      <c r="BS48" s="17">
        <f>BS49+BS50</f>
        <v>0</v>
      </c>
      <c r="BT48" s="17"/>
      <c r="BU48" s="17">
        <f>BU49+BU50</f>
        <v>0</v>
      </c>
      <c r="BV48" s="17"/>
      <c r="BW48" s="17">
        <f>BW49+BW50</f>
        <v>0</v>
      </c>
      <c r="BX48" s="17"/>
      <c r="BY48" s="17">
        <f>BY49+BY50</f>
        <v>0</v>
      </c>
      <c r="BZ48" s="17"/>
      <c r="CA48" s="17">
        <f>CA49+CA50</f>
        <v>0</v>
      </c>
      <c r="CB48" s="17"/>
      <c r="CC48" s="17">
        <f>CC49+CC50</f>
        <v>0</v>
      </c>
      <c r="CD48" s="17"/>
      <c r="CE48" s="17">
        <f>CE49+CE50</f>
        <v>0</v>
      </c>
      <c r="CF48" s="17"/>
      <c r="CG48" s="17">
        <f>CG49+CG50</f>
        <v>0</v>
      </c>
      <c r="CH48" s="17"/>
      <c r="CI48" s="17">
        <f>CI49+CI50</f>
        <v>0</v>
      </c>
      <c r="CJ48" s="31"/>
      <c r="CK48" s="42">
        <f>CK49+CK50</f>
        <v>0</v>
      </c>
      <c r="CL48" s="158"/>
      <c r="CM48" s="54"/>
      <c r="CN48" s="158">
        <f>CN49+CN50</f>
        <v>0</v>
      </c>
      <c r="CO48" s="43"/>
      <c r="CP48" s="54">
        <f>CP49+CP50</f>
        <v>0</v>
      </c>
      <c r="CQ48" s="158"/>
      <c r="CR48" s="158"/>
      <c r="CS48" s="54"/>
      <c r="CT48" s="31">
        <f>CT49+CT50</f>
        <v>0</v>
      </c>
      <c r="CU48" s="31"/>
      <c r="CV48" s="31">
        <f>CV49+CV50</f>
        <v>0</v>
      </c>
      <c r="CW48" s="31"/>
      <c r="CX48" s="133">
        <f>CX49+CX50</f>
        <v>0</v>
      </c>
      <c r="CY48" s="43"/>
      <c r="CZ48" s="43"/>
      <c r="DA48" s="43"/>
      <c r="DB48" s="43"/>
      <c r="DC48" s="43"/>
      <c r="DD48" s="158">
        <f>DD49+DD50</f>
        <v>0</v>
      </c>
      <c r="DE48" s="42"/>
      <c r="DF48" s="42">
        <f>DF49+DF50</f>
        <v>0</v>
      </c>
      <c r="DG48" s="42"/>
      <c r="DH48" s="42">
        <f>DH49+DH50</f>
        <v>0</v>
      </c>
      <c r="DI48" s="158"/>
      <c r="DJ48" s="158"/>
      <c r="DK48" s="35" t="e">
        <f>DK49+DK50</f>
        <v>#REF!</v>
      </c>
    </row>
    <row r="49" spans="1:115" ht="19.5" hidden="1" thickBot="1">
      <c r="A49" s="6">
        <v>50</v>
      </c>
      <c r="B49" s="6" t="s">
        <v>6</v>
      </c>
      <c r="C49" s="6"/>
      <c r="D49" s="203"/>
      <c r="E49" s="203"/>
      <c r="F49" s="203"/>
      <c r="G49" s="20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4"/>
      <c r="AA49" s="122"/>
      <c r="AB49" s="122"/>
      <c r="AC49" s="122">
        <f>SUM(H49:Z49)</f>
        <v>0</v>
      </c>
      <c r="AD49" s="122"/>
      <c r="AE49" s="134"/>
      <c r="AF49" s="24"/>
      <c r="AG49" s="32"/>
      <c r="AH49" s="32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28"/>
      <c r="CK49" s="181"/>
      <c r="CL49" s="36"/>
      <c r="CM49" s="50"/>
      <c r="CN49" s="36">
        <f>SUM(AG49:CK49)</f>
        <v>0</v>
      </c>
      <c r="CO49" s="39"/>
      <c r="CP49" s="24"/>
      <c r="CQ49" s="159"/>
      <c r="CR49" s="159"/>
      <c r="CS49" s="24"/>
      <c r="CT49" s="23"/>
      <c r="CU49" s="23"/>
      <c r="CV49" s="23"/>
      <c r="CW49" s="23"/>
      <c r="CX49" s="134"/>
      <c r="CY49" s="44"/>
      <c r="CZ49" s="44"/>
      <c r="DA49" s="44"/>
      <c r="DB49" s="44"/>
      <c r="DC49" s="44"/>
      <c r="DD49" s="159"/>
      <c r="DE49" s="177"/>
      <c r="DF49" s="177"/>
      <c r="DG49" s="177"/>
      <c r="DH49" s="177"/>
      <c r="DI49" s="159"/>
      <c r="DJ49" s="159"/>
      <c r="DK49" s="190" t="e">
        <f>D49+F49+AC49+AE49+CN49+CP49+CR49+CT49+CV49+#REF!+CX49+DD49+DF49+DH49</f>
        <v>#REF!</v>
      </c>
    </row>
    <row r="50" spans="1:115" ht="19.5" hidden="1" thickBot="1">
      <c r="A50" s="4">
        <v>51</v>
      </c>
      <c r="B50" s="4" t="s">
        <v>7</v>
      </c>
      <c r="C50" s="4"/>
      <c r="D50" s="199"/>
      <c r="E50" s="199"/>
      <c r="F50" s="199"/>
      <c r="G50" s="19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22"/>
      <c r="AA50" s="231"/>
      <c r="AB50" s="231"/>
      <c r="AC50" s="122">
        <f>SUM(H50:Z50)</f>
        <v>0</v>
      </c>
      <c r="AD50" s="231"/>
      <c r="AE50" s="129"/>
      <c r="AF50" s="27"/>
      <c r="AG50" s="126"/>
      <c r="AH50" s="126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70"/>
      <c r="CK50" s="251"/>
      <c r="CL50" s="71"/>
      <c r="CM50" s="237"/>
      <c r="CN50" s="36">
        <f>SUM(AG50:CK50)</f>
        <v>0</v>
      </c>
      <c r="CO50" s="117"/>
      <c r="CP50" s="27"/>
      <c r="CQ50" s="157"/>
      <c r="CR50" s="157"/>
      <c r="CS50" s="27"/>
      <c r="CT50" s="26"/>
      <c r="CU50" s="26"/>
      <c r="CV50" s="26"/>
      <c r="CW50" s="26"/>
      <c r="CX50" s="129"/>
      <c r="CY50" s="72"/>
      <c r="CZ50" s="72"/>
      <c r="DA50" s="72"/>
      <c r="DB50" s="72"/>
      <c r="DC50" s="72"/>
      <c r="DD50" s="157"/>
      <c r="DE50" s="178"/>
      <c r="DF50" s="178"/>
      <c r="DG50" s="178"/>
      <c r="DH50" s="178"/>
      <c r="DI50" s="157"/>
      <c r="DJ50" s="157"/>
      <c r="DK50" s="190" t="e">
        <f>D50+F50+AC50+AE50+CN50+CP50+CR50+CT50+CV50+#REF!+CX50+DD50+DF50+DH50</f>
        <v>#REF!</v>
      </c>
    </row>
    <row r="51" spans="1:115" ht="19.5" hidden="1" thickBot="1">
      <c r="A51" s="150">
        <v>52</v>
      </c>
      <c r="B51" s="135" t="s">
        <v>58</v>
      </c>
      <c r="C51" s="229"/>
      <c r="D51" s="201"/>
      <c r="E51" s="201"/>
      <c r="F51" s="201"/>
      <c r="G51" s="20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89"/>
      <c r="AA51" s="123"/>
      <c r="AB51" s="123"/>
      <c r="AC51" s="123">
        <f>SUM(H51:Z51)</f>
        <v>0</v>
      </c>
      <c r="AD51" s="123"/>
      <c r="AE51" s="136"/>
      <c r="AF51" s="94"/>
      <c r="AG51" s="92"/>
      <c r="AH51" s="93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1"/>
      <c r="CK51" s="150"/>
      <c r="CL51" s="92"/>
      <c r="CM51" s="93"/>
      <c r="CN51" s="92">
        <f>SUM(AG51:CK51)</f>
        <v>0</v>
      </c>
      <c r="CO51" s="94"/>
      <c r="CP51" s="93"/>
      <c r="CQ51" s="92"/>
      <c r="CR51" s="92"/>
      <c r="CS51" s="93"/>
      <c r="CT51" s="91"/>
      <c r="CU51" s="91"/>
      <c r="CV51" s="91"/>
      <c r="CW51" s="91"/>
      <c r="CX51" s="136"/>
      <c r="CY51" s="94"/>
      <c r="CZ51" s="94"/>
      <c r="DA51" s="94"/>
      <c r="DB51" s="94"/>
      <c r="DC51" s="94"/>
      <c r="DD51" s="92"/>
      <c r="DE51" s="150"/>
      <c r="DF51" s="150"/>
      <c r="DG51" s="150"/>
      <c r="DH51" s="150"/>
      <c r="DI51" s="92"/>
      <c r="DJ51" s="92"/>
      <c r="DK51" s="191" t="e">
        <f>D51+F51+AC51+AE51+CN51+CP51+CR51+CT51+CV51+#REF!+CX51+DD51+DF51+DH51</f>
        <v>#REF!</v>
      </c>
    </row>
    <row r="52" spans="1:115" ht="19.5" hidden="1" thickBot="1">
      <c r="A52" s="95">
        <v>53</v>
      </c>
      <c r="B52" s="96" t="s">
        <v>57</v>
      </c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6"/>
      <c r="AA52" s="124"/>
      <c r="AB52" s="124"/>
      <c r="AC52" s="124">
        <f>SUM(H52:Z52)</f>
        <v>0</v>
      </c>
      <c r="AD52" s="124"/>
      <c r="AE52" s="137"/>
      <c r="AF52" s="101"/>
      <c r="AG52" s="99"/>
      <c r="AH52" s="100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8"/>
      <c r="CK52" s="179"/>
      <c r="CL52" s="99"/>
      <c r="CM52" s="100"/>
      <c r="CN52" s="99">
        <f>SUM(AG52:CK52)</f>
        <v>0</v>
      </c>
      <c r="CO52" s="101"/>
      <c r="CP52" s="100"/>
      <c r="CQ52" s="99"/>
      <c r="CR52" s="99"/>
      <c r="CS52" s="100"/>
      <c r="CT52" s="98"/>
      <c r="CU52" s="98"/>
      <c r="CV52" s="98"/>
      <c r="CW52" s="98"/>
      <c r="CX52" s="137"/>
      <c r="CY52" s="101"/>
      <c r="CZ52" s="101"/>
      <c r="DA52" s="101"/>
      <c r="DB52" s="101"/>
      <c r="DC52" s="101"/>
      <c r="DD52" s="99"/>
      <c r="DE52" s="179"/>
      <c r="DF52" s="179"/>
      <c r="DG52" s="179"/>
      <c r="DH52" s="179"/>
      <c r="DI52" s="99"/>
      <c r="DJ52" s="99"/>
      <c r="DK52" s="192" t="e">
        <f>D52+F52+AC52+AE52+CN52+CP52+CR52+CT52+CV52+#REF!+CX52+DD52+DF52+DH52</f>
        <v>#REF!</v>
      </c>
    </row>
    <row r="53" spans="1:115" ht="19.5" hidden="1" thickBot="1">
      <c r="A53" s="107">
        <v>54</v>
      </c>
      <c r="B53" s="103" t="s">
        <v>59</v>
      </c>
      <c r="C53" s="103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  <c r="AA53" s="125"/>
      <c r="AB53" s="125"/>
      <c r="AC53" s="125">
        <f>SUM(H53:Z53)</f>
        <v>0</v>
      </c>
      <c r="AD53" s="125"/>
      <c r="AE53" s="138"/>
      <c r="AF53" s="106"/>
      <c r="AG53" s="109"/>
      <c r="AH53" s="109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4"/>
      <c r="CK53" s="180"/>
      <c r="CL53" s="105"/>
      <c r="CM53" s="106"/>
      <c r="CN53" s="105">
        <f>SUM(AG53:CK53)</f>
        <v>0</v>
      </c>
      <c r="CO53" s="108"/>
      <c r="CP53" s="106"/>
      <c r="CQ53" s="105"/>
      <c r="CR53" s="105"/>
      <c r="CS53" s="106"/>
      <c r="CT53" s="104"/>
      <c r="CU53" s="104"/>
      <c r="CV53" s="104"/>
      <c r="CW53" s="104"/>
      <c r="CX53" s="138"/>
      <c r="CY53" s="108"/>
      <c r="CZ53" s="108"/>
      <c r="DA53" s="108"/>
      <c r="DB53" s="108"/>
      <c r="DC53" s="108"/>
      <c r="DD53" s="105"/>
      <c r="DE53" s="180"/>
      <c r="DF53" s="180"/>
      <c r="DG53" s="180"/>
      <c r="DH53" s="180"/>
      <c r="DI53" s="105"/>
      <c r="DJ53" s="105"/>
      <c r="DK53" s="193" t="e">
        <f>D53+F53+AC53+AE53+CN53+CP53+CR53+CT53+CV53+#REF!+CX53+DD53+DF53+DH53</f>
        <v>#REF!</v>
      </c>
    </row>
    <row r="54" spans="1:117" ht="19.5" thickBot="1">
      <c r="A54" s="110">
        <v>55</v>
      </c>
      <c r="B54" s="111" t="s">
        <v>4</v>
      </c>
      <c r="C54" s="112">
        <f>C39+C40+C41+C44+C45+C51+C52+C53</f>
        <v>12150467.760000004</v>
      </c>
      <c r="D54" s="112">
        <f>D39+D40+D41+D44+D45+D51+D52+D53</f>
        <v>1882985.2615000003</v>
      </c>
      <c r="E54" s="112">
        <f>E39+E40+E41+E44+E45+E51+E52+E53</f>
        <v>2665147.0727999997</v>
      </c>
      <c r="F54" s="112">
        <f>F39+F40+F41+F44+F45+F51+F52+F53</f>
        <v>451141.8353999999</v>
      </c>
      <c r="G54" s="112">
        <f>G39+G40+G41+G44+G45+G51+G52+G53</f>
        <v>0</v>
      </c>
      <c r="H54" s="112">
        <f aca="true" t="shared" si="10" ref="H54:BS54">H39+H40+H41+H44+H45+H51+H52+H53</f>
        <v>33318</v>
      </c>
      <c r="I54" s="112">
        <f t="shared" si="10"/>
        <v>0</v>
      </c>
      <c r="J54" s="112">
        <f t="shared" si="10"/>
        <v>0</v>
      </c>
      <c r="K54" s="112">
        <f t="shared" si="10"/>
        <v>0</v>
      </c>
      <c r="L54" s="112">
        <f t="shared" si="10"/>
        <v>210969.54</v>
      </c>
      <c r="M54" s="112">
        <f t="shared" si="10"/>
        <v>0</v>
      </c>
      <c r="N54" s="112">
        <f t="shared" si="10"/>
        <v>0</v>
      </c>
      <c r="O54" s="112">
        <f t="shared" si="10"/>
        <v>0</v>
      </c>
      <c r="P54" s="112">
        <f t="shared" si="10"/>
        <v>0</v>
      </c>
      <c r="Q54" s="112">
        <f t="shared" si="10"/>
        <v>0</v>
      </c>
      <c r="R54" s="112">
        <f t="shared" si="10"/>
        <v>0</v>
      </c>
      <c r="S54" s="112">
        <f t="shared" si="10"/>
        <v>0</v>
      </c>
      <c r="T54" s="112">
        <f t="shared" si="10"/>
        <v>0</v>
      </c>
      <c r="U54" s="112">
        <f t="shared" si="10"/>
        <v>0</v>
      </c>
      <c r="V54" s="112">
        <f t="shared" si="10"/>
        <v>60332</v>
      </c>
      <c r="W54" s="112">
        <f t="shared" si="10"/>
        <v>0</v>
      </c>
      <c r="X54" s="112">
        <f t="shared" si="10"/>
        <v>0</v>
      </c>
      <c r="Y54" s="112">
        <f t="shared" si="10"/>
        <v>0</v>
      </c>
      <c r="Z54" s="112">
        <f t="shared" si="10"/>
        <v>0</v>
      </c>
      <c r="AA54" s="112">
        <f t="shared" si="10"/>
        <v>0</v>
      </c>
      <c r="AB54" s="112">
        <f t="shared" si="10"/>
        <v>304619.54</v>
      </c>
      <c r="AC54" s="113">
        <f t="shared" si="10"/>
        <v>304619.54</v>
      </c>
      <c r="AD54" s="113">
        <f t="shared" si="10"/>
        <v>0</v>
      </c>
      <c r="AE54" s="114">
        <f t="shared" si="10"/>
        <v>-137515.50000000003</v>
      </c>
      <c r="AF54" s="114">
        <f t="shared" si="10"/>
        <v>0</v>
      </c>
      <c r="AG54" s="160">
        <f t="shared" si="10"/>
        <v>2290.3</v>
      </c>
      <c r="AH54" s="160">
        <f t="shared" si="10"/>
        <v>0</v>
      </c>
      <c r="AI54" s="112">
        <f t="shared" si="10"/>
        <v>0</v>
      </c>
      <c r="AJ54" s="112">
        <f t="shared" si="10"/>
        <v>0</v>
      </c>
      <c r="AK54" s="112">
        <f t="shared" si="10"/>
        <v>0</v>
      </c>
      <c r="AL54" s="112">
        <f t="shared" si="10"/>
        <v>0</v>
      </c>
      <c r="AM54" s="112">
        <f t="shared" si="10"/>
        <v>0</v>
      </c>
      <c r="AN54" s="112">
        <f t="shared" si="10"/>
        <v>0</v>
      </c>
      <c r="AO54" s="112">
        <f t="shared" si="10"/>
        <v>43752</v>
      </c>
      <c r="AP54" s="112">
        <f t="shared" si="10"/>
        <v>0</v>
      </c>
      <c r="AQ54" s="112">
        <f t="shared" si="10"/>
        <v>0</v>
      </c>
      <c r="AR54" s="112">
        <f t="shared" si="10"/>
        <v>0</v>
      </c>
      <c r="AS54" s="112">
        <f t="shared" si="10"/>
        <v>0</v>
      </c>
      <c r="AT54" s="112">
        <f t="shared" si="10"/>
        <v>0</v>
      </c>
      <c r="AU54" s="112">
        <f t="shared" si="10"/>
        <v>0</v>
      </c>
      <c r="AV54" s="112">
        <f t="shared" si="10"/>
        <v>0</v>
      </c>
      <c r="AW54" s="112">
        <f t="shared" si="10"/>
        <v>0</v>
      </c>
      <c r="AX54" s="112">
        <f t="shared" si="10"/>
        <v>0</v>
      </c>
      <c r="AY54" s="112">
        <f t="shared" si="10"/>
        <v>0</v>
      </c>
      <c r="AZ54" s="112">
        <f t="shared" si="10"/>
        <v>0</v>
      </c>
      <c r="BA54" s="112">
        <f t="shared" si="10"/>
        <v>0</v>
      </c>
      <c r="BB54" s="112">
        <f t="shared" si="10"/>
        <v>0</v>
      </c>
      <c r="BC54" s="112">
        <f t="shared" si="10"/>
        <v>0</v>
      </c>
      <c r="BD54" s="112">
        <f t="shared" si="10"/>
        <v>0</v>
      </c>
      <c r="BE54" s="112">
        <f t="shared" si="10"/>
        <v>0</v>
      </c>
      <c r="BF54" s="112">
        <f t="shared" si="10"/>
        <v>0</v>
      </c>
      <c r="BG54" s="112">
        <f t="shared" si="10"/>
        <v>0</v>
      </c>
      <c r="BH54" s="112">
        <f t="shared" si="10"/>
        <v>0</v>
      </c>
      <c r="BI54" s="112">
        <f t="shared" si="10"/>
        <v>0</v>
      </c>
      <c r="BJ54" s="112">
        <f t="shared" si="10"/>
        <v>0</v>
      </c>
      <c r="BK54" s="112">
        <f t="shared" si="10"/>
        <v>0</v>
      </c>
      <c r="BL54" s="112">
        <f t="shared" si="10"/>
        <v>0</v>
      </c>
      <c r="BM54" s="112">
        <f t="shared" si="10"/>
        <v>0</v>
      </c>
      <c r="BN54" s="112">
        <f t="shared" si="10"/>
        <v>0</v>
      </c>
      <c r="BO54" s="112">
        <f t="shared" si="10"/>
        <v>0</v>
      </c>
      <c r="BP54" s="112">
        <f t="shared" si="10"/>
        <v>0</v>
      </c>
      <c r="BQ54" s="112">
        <f t="shared" si="10"/>
        <v>0</v>
      </c>
      <c r="BR54" s="112">
        <f t="shared" si="10"/>
        <v>0</v>
      </c>
      <c r="BS54" s="112">
        <f t="shared" si="10"/>
        <v>0</v>
      </c>
      <c r="BT54" s="112">
        <f aca="true" t="shared" si="11" ref="BT54:DJ54">BT39+BT40+BT41+BT44+BT45+BT51+BT52+BT53</f>
        <v>0</v>
      </c>
      <c r="BU54" s="112">
        <f t="shared" si="11"/>
        <v>0</v>
      </c>
      <c r="BV54" s="112">
        <f t="shared" si="11"/>
        <v>0</v>
      </c>
      <c r="BW54" s="112">
        <f t="shared" si="11"/>
        <v>0</v>
      </c>
      <c r="BX54" s="112">
        <f t="shared" si="11"/>
        <v>0</v>
      </c>
      <c r="BY54" s="112">
        <f t="shared" si="11"/>
        <v>0</v>
      </c>
      <c r="BZ54" s="112">
        <f t="shared" si="11"/>
        <v>0</v>
      </c>
      <c r="CA54" s="112">
        <f t="shared" si="11"/>
        <v>0</v>
      </c>
      <c r="CB54" s="112">
        <f t="shared" si="11"/>
        <v>0</v>
      </c>
      <c r="CC54" s="112">
        <f t="shared" si="11"/>
        <v>5030</v>
      </c>
      <c r="CD54" s="112">
        <f t="shared" si="11"/>
        <v>0</v>
      </c>
      <c r="CE54" s="112">
        <f t="shared" si="11"/>
        <v>0</v>
      </c>
      <c r="CF54" s="112">
        <f t="shared" si="11"/>
        <v>0</v>
      </c>
      <c r="CG54" s="112">
        <f t="shared" si="11"/>
        <v>0</v>
      </c>
      <c r="CH54" s="112">
        <f t="shared" si="11"/>
        <v>0</v>
      </c>
      <c r="CI54" s="112">
        <f t="shared" si="11"/>
        <v>0</v>
      </c>
      <c r="CJ54" s="112">
        <f t="shared" si="11"/>
        <v>0</v>
      </c>
      <c r="CK54" s="139">
        <f t="shared" si="11"/>
        <v>0</v>
      </c>
      <c r="CL54" s="139">
        <f t="shared" si="11"/>
        <v>0</v>
      </c>
      <c r="CM54" s="139">
        <f t="shared" si="11"/>
        <v>51072.299999999996</v>
      </c>
      <c r="CN54" s="160">
        <f t="shared" si="11"/>
        <v>51072.299999999996</v>
      </c>
      <c r="CO54" s="160">
        <f t="shared" si="11"/>
        <v>0</v>
      </c>
      <c r="CP54" s="116">
        <f t="shared" si="11"/>
        <v>2216</v>
      </c>
      <c r="CQ54" s="160">
        <f t="shared" si="11"/>
        <v>0</v>
      </c>
      <c r="CR54" s="160">
        <f t="shared" si="11"/>
        <v>-70588.06000000001</v>
      </c>
      <c r="CS54" s="160">
        <f t="shared" si="11"/>
        <v>0</v>
      </c>
      <c r="CT54" s="113">
        <f t="shared" si="11"/>
        <v>12840.35</v>
      </c>
      <c r="CU54" s="113">
        <f t="shared" si="11"/>
        <v>0</v>
      </c>
      <c r="CV54" s="113">
        <f t="shared" si="11"/>
        <v>97512.81000000001</v>
      </c>
      <c r="CW54" s="113">
        <f t="shared" si="11"/>
        <v>0</v>
      </c>
      <c r="CX54" s="114">
        <f t="shared" si="11"/>
        <v>0</v>
      </c>
      <c r="CY54" s="114">
        <f t="shared" si="11"/>
        <v>0</v>
      </c>
      <c r="CZ54" s="114">
        <f t="shared" si="11"/>
        <v>734.4</v>
      </c>
      <c r="DA54" s="114">
        <f t="shared" si="11"/>
        <v>0</v>
      </c>
      <c r="DB54" s="114">
        <f t="shared" si="11"/>
        <v>0</v>
      </c>
      <c r="DC54" s="114">
        <f t="shared" si="11"/>
        <v>0</v>
      </c>
      <c r="DD54" s="160">
        <f t="shared" si="11"/>
        <v>13297.75</v>
      </c>
      <c r="DE54" s="160">
        <f t="shared" si="11"/>
        <v>0</v>
      </c>
      <c r="DF54" s="139">
        <f t="shared" si="11"/>
        <v>0</v>
      </c>
      <c r="DG54" s="139">
        <f t="shared" si="11"/>
        <v>0</v>
      </c>
      <c r="DH54" s="139">
        <f t="shared" si="11"/>
        <v>0</v>
      </c>
      <c r="DI54" s="139">
        <f t="shared" si="11"/>
        <v>14815614.832800003</v>
      </c>
      <c r="DJ54" s="160">
        <f t="shared" si="11"/>
        <v>2608316.6869000006</v>
      </c>
      <c r="DK54" s="160">
        <f>DK40+DK39</f>
        <v>17423931.519700002</v>
      </c>
      <c r="DM54" s="195">
        <f>DK54-DL56</f>
        <v>-0.00029999762773513794</v>
      </c>
    </row>
    <row r="55" spans="8:115" ht="18.75">
      <c r="H55" s="18">
        <v>33318</v>
      </c>
      <c r="Z55" s="19"/>
      <c r="AA55" s="19"/>
      <c r="AB55" s="19"/>
      <c r="AC55" s="19"/>
      <c r="AD55" s="19"/>
      <c r="DK55" s="220">
        <f>DI54+DJ54</f>
        <v>17423931.519700002</v>
      </c>
    </row>
    <row r="56" spans="98:116" ht="18.75">
      <c r="CT56" s="21"/>
      <c r="CU56" s="21"/>
      <c r="DK56" s="220">
        <f>C54+D54+E54+F54+AC54+AE54+CN54+CP54+CR54+CT54+CV54+CZ54+DD54</f>
        <v>17423931.519700002</v>
      </c>
      <c r="DL56">
        <v>17423931.52</v>
      </c>
    </row>
  </sheetData>
  <sheetProtection/>
  <mergeCells count="61">
    <mergeCell ref="AF4:CK4"/>
    <mergeCell ref="CL4:CN5"/>
    <mergeCell ref="CO4:CP5"/>
    <mergeCell ref="CW4:DB4"/>
    <mergeCell ref="DC4:DD5"/>
    <mergeCell ref="DE4:DF5"/>
    <mergeCell ref="A1:DK3"/>
    <mergeCell ref="A4:A5"/>
    <mergeCell ref="B4:B5"/>
    <mergeCell ref="C4:D5"/>
    <mergeCell ref="E4:F5"/>
    <mergeCell ref="G4:AC4"/>
    <mergeCell ref="AD4:AE5"/>
    <mergeCell ref="DG4:DH5"/>
    <mergeCell ref="DI4:DK5"/>
    <mergeCell ref="G5:H5"/>
    <mergeCell ref="I5:J5"/>
    <mergeCell ref="K5:L5"/>
    <mergeCell ref="M5:N5"/>
    <mergeCell ref="O5:P5"/>
    <mergeCell ref="Q5:R5"/>
    <mergeCell ref="S5:T5"/>
    <mergeCell ref="U5:V5"/>
    <mergeCell ref="AT5:AU5"/>
    <mergeCell ref="AV5:AW5"/>
    <mergeCell ref="W5:X5"/>
    <mergeCell ref="Y5:Z5"/>
    <mergeCell ref="AA5:AC5"/>
    <mergeCell ref="AF5:AG5"/>
    <mergeCell ref="AH5:AI5"/>
    <mergeCell ref="AJ5:AK5"/>
    <mergeCell ref="AL5:AM5"/>
    <mergeCell ref="AN5:AO5"/>
    <mergeCell ref="AP5:AQ5"/>
    <mergeCell ref="AR5:AS5"/>
    <mergeCell ref="BR5:BS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DA5:DB5"/>
    <mergeCell ref="BV5:BW5"/>
    <mergeCell ref="BX5:BY5"/>
    <mergeCell ref="BZ5:CA5"/>
    <mergeCell ref="CB5:CC5"/>
    <mergeCell ref="CD5:CE5"/>
    <mergeCell ref="CF5:CG5"/>
    <mergeCell ref="CQ4:CR5"/>
    <mergeCell ref="CS4:CT5"/>
    <mergeCell ref="CU4:CV5"/>
    <mergeCell ref="CH5:CI5"/>
    <mergeCell ref="CJ5:CK5"/>
    <mergeCell ref="CW5:CX5"/>
    <mergeCell ref="CY5:CZ5"/>
  </mergeCells>
  <printOptions horizontalCentered="1"/>
  <pageMargins left="0.19" right="0.2" top="0.36" bottom="0.1968503937007874" header="0.2" footer="0.5118110236220472"/>
  <pageSetup horizontalDpi="600" verticalDpi="600" orientation="portrait" paperSize="9" scale="34" r:id="rId1"/>
  <colBreaks count="5" manualBreakCount="5">
    <brk id="14" max="65535" man="1"/>
    <brk id="31" max="65535" man="1"/>
    <brk id="64" max="55" man="1"/>
    <brk id="83" max="65535" man="1"/>
    <brk id="10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O56"/>
  <sheetViews>
    <sheetView view="pageBreakPreview" zoomScale="80" zoomScaleNormal="50" zoomScaleSheetLayoutView="8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39" sqref="H39"/>
    </sheetView>
  </sheetViews>
  <sheetFormatPr defaultColWidth="9.00390625" defaultRowHeight="12.75"/>
  <cols>
    <col min="1" max="1" width="5.00390625" style="18" customWidth="1"/>
    <col min="2" max="2" width="38.375" style="18" customWidth="1"/>
    <col min="3" max="3" width="18.00390625" style="18" customWidth="1"/>
    <col min="4" max="4" width="15.375" style="18" customWidth="1"/>
    <col min="5" max="5" width="17.75390625" style="18" customWidth="1"/>
    <col min="6" max="6" width="14.375" style="18" customWidth="1"/>
    <col min="7" max="7" width="16.875" style="18" customWidth="1"/>
    <col min="8" max="8" width="17.125" style="18" customWidth="1"/>
    <col min="9" max="17" width="14.75390625" style="18" customWidth="1"/>
    <col min="18" max="18" width="15.75390625" style="18" customWidth="1"/>
    <col min="19" max="19" width="14.625" style="18" customWidth="1"/>
    <col min="20" max="20" width="14.75390625" style="18" customWidth="1"/>
    <col min="21" max="21" width="16.25390625" style="18" customWidth="1"/>
    <col min="22" max="22" width="16.00390625" style="18" customWidth="1"/>
    <col min="23" max="23" width="17.00390625" style="18" customWidth="1"/>
    <col min="24" max="24" width="16.375" style="18" customWidth="1"/>
    <col min="25" max="25" width="14.75390625" style="18" customWidth="1"/>
    <col min="26" max="29" width="14.75390625" style="20" customWidth="1"/>
    <col min="30" max="30" width="17.75390625" style="20" customWidth="1"/>
    <col min="31" max="32" width="17.25390625" style="18" customWidth="1"/>
    <col min="33" max="34" width="18.125" style="18" customWidth="1"/>
    <col min="35" max="35" width="17.125" style="18" customWidth="1"/>
    <col min="36" max="36" width="16.25390625" style="18" customWidth="1"/>
    <col min="37" max="37" width="16.875" style="18" customWidth="1"/>
    <col min="38" max="38" width="14.75390625" style="18" customWidth="1"/>
    <col min="39" max="40" width="16.00390625" style="18" customWidth="1"/>
    <col min="41" max="41" width="14.75390625" style="18" customWidth="1"/>
    <col min="42" max="42" width="15.75390625" style="18" customWidth="1"/>
    <col min="43" max="44" width="16.25390625" style="18" customWidth="1"/>
    <col min="45" max="45" width="17.00390625" style="18" customWidth="1"/>
    <col min="46" max="47" width="15.875" style="18" customWidth="1"/>
    <col min="48" max="48" width="16.875" style="18" customWidth="1"/>
    <col min="49" max="50" width="16.00390625" style="18" customWidth="1"/>
    <col min="51" max="51" width="16.25390625" style="18" customWidth="1"/>
    <col min="52" max="52" width="15.875" style="18" customWidth="1"/>
    <col min="53" max="54" width="18.00390625" style="18" customWidth="1"/>
    <col min="55" max="55" width="16.25390625" style="18" customWidth="1"/>
    <col min="56" max="66" width="14.75390625" style="18" customWidth="1"/>
    <col min="67" max="67" width="16.125" style="18" customWidth="1"/>
    <col min="68" max="93" width="14.75390625" style="18" customWidth="1"/>
    <col min="94" max="95" width="17.125" style="18" customWidth="1"/>
    <col min="96" max="96" width="16.625" style="18" customWidth="1"/>
    <col min="97" max="97" width="14.75390625" style="18" customWidth="1"/>
    <col min="98" max="99" width="16.25390625" style="18" customWidth="1"/>
    <col min="100" max="101" width="16.875" style="18" customWidth="1"/>
    <col min="102" max="107" width="15.375" style="18" customWidth="1"/>
    <col min="108" max="109" width="16.375" style="18" customWidth="1"/>
    <col min="110" max="112" width="14.75390625" style="18" customWidth="1"/>
    <col min="113" max="113" width="16.25390625" style="18" customWidth="1"/>
    <col min="114" max="114" width="17.00390625" style="18" customWidth="1"/>
    <col min="115" max="115" width="18.125" style="18" customWidth="1"/>
    <col min="116" max="117" width="14.625" style="0" customWidth="1"/>
  </cols>
  <sheetData>
    <row r="1" spans="1:115" ht="18" customHeight="1">
      <c r="A1" s="281" t="s">
        <v>112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2"/>
    </row>
    <row r="2" spans="1:115" ht="12.75" customHeight="1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2"/>
    </row>
    <row r="3" spans="1:115" ht="18.75" customHeight="1" hidden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2"/>
    </row>
    <row r="4" spans="1:115" s="2" customFormat="1" ht="45.75" customHeight="1">
      <c r="A4" s="289" t="s">
        <v>1</v>
      </c>
      <c r="B4" s="284" t="s">
        <v>0</v>
      </c>
      <c r="C4" s="284" t="s">
        <v>78</v>
      </c>
      <c r="D4" s="284"/>
      <c r="E4" s="284" t="s">
        <v>79</v>
      </c>
      <c r="F4" s="284"/>
      <c r="G4" s="286" t="s">
        <v>92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/>
      <c r="AD4" s="265" t="s">
        <v>70</v>
      </c>
      <c r="AE4" s="266"/>
      <c r="AF4" s="265" t="s">
        <v>80</v>
      </c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66"/>
      <c r="CL4" s="271" t="s">
        <v>73</v>
      </c>
      <c r="CM4" s="271"/>
      <c r="CN4" s="266"/>
      <c r="CO4" s="265" t="s">
        <v>81</v>
      </c>
      <c r="CP4" s="266"/>
      <c r="CQ4" s="265" t="s">
        <v>82</v>
      </c>
      <c r="CR4" s="266"/>
      <c r="CS4" s="265" t="s">
        <v>83</v>
      </c>
      <c r="CT4" s="266"/>
      <c r="CU4" s="265" t="s">
        <v>84</v>
      </c>
      <c r="CV4" s="266"/>
      <c r="CW4" s="269" t="s">
        <v>85</v>
      </c>
      <c r="CX4" s="270"/>
      <c r="CY4" s="270"/>
      <c r="CZ4" s="270"/>
      <c r="DA4" s="270"/>
      <c r="DB4" s="270"/>
      <c r="DC4" s="291" t="s">
        <v>86</v>
      </c>
      <c r="DD4" s="292"/>
      <c r="DE4" s="265" t="s">
        <v>87</v>
      </c>
      <c r="DF4" s="266"/>
      <c r="DG4" s="265" t="s">
        <v>88</v>
      </c>
      <c r="DH4" s="266"/>
      <c r="DI4" s="265" t="s">
        <v>4</v>
      </c>
      <c r="DJ4" s="271"/>
      <c r="DK4" s="279"/>
    </row>
    <row r="5" spans="1:115" s="2" customFormat="1" ht="84.75" customHeight="1" thickBot="1">
      <c r="A5" s="290"/>
      <c r="B5" s="285"/>
      <c r="C5" s="285"/>
      <c r="D5" s="285"/>
      <c r="E5" s="285"/>
      <c r="F5" s="285"/>
      <c r="G5" s="273" t="s">
        <v>114</v>
      </c>
      <c r="H5" s="274"/>
      <c r="I5" s="273" t="s">
        <v>60</v>
      </c>
      <c r="J5" s="274"/>
      <c r="K5" s="263" t="s">
        <v>116</v>
      </c>
      <c r="L5" s="264"/>
      <c r="M5" s="273" t="s">
        <v>61</v>
      </c>
      <c r="N5" s="274"/>
      <c r="O5" s="263" t="s">
        <v>109</v>
      </c>
      <c r="P5" s="264"/>
      <c r="Q5" s="273" t="s">
        <v>115</v>
      </c>
      <c r="R5" s="274"/>
      <c r="S5" s="273" t="s">
        <v>35</v>
      </c>
      <c r="T5" s="274"/>
      <c r="U5" s="273" t="s">
        <v>65</v>
      </c>
      <c r="V5" s="274"/>
      <c r="W5" s="273" t="s">
        <v>64</v>
      </c>
      <c r="X5" s="274"/>
      <c r="Y5" s="273" t="s">
        <v>63</v>
      </c>
      <c r="Z5" s="274"/>
      <c r="AA5" s="273" t="s">
        <v>71</v>
      </c>
      <c r="AB5" s="278"/>
      <c r="AC5" s="274"/>
      <c r="AD5" s="267"/>
      <c r="AE5" s="268"/>
      <c r="AF5" s="273" t="s">
        <v>77</v>
      </c>
      <c r="AG5" s="274"/>
      <c r="AH5" s="273" t="s">
        <v>39</v>
      </c>
      <c r="AI5" s="274"/>
      <c r="AJ5" s="273" t="s">
        <v>40</v>
      </c>
      <c r="AK5" s="274"/>
      <c r="AL5" s="273" t="s">
        <v>66</v>
      </c>
      <c r="AM5" s="274"/>
      <c r="AN5" s="273" t="s">
        <v>36</v>
      </c>
      <c r="AO5" s="274"/>
      <c r="AP5" s="275" t="s">
        <v>107</v>
      </c>
      <c r="AQ5" s="276"/>
      <c r="AR5" s="273" t="s">
        <v>41</v>
      </c>
      <c r="AS5" s="274"/>
      <c r="AT5" s="273" t="s">
        <v>42</v>
      </c>
      <c r="AU5" s="274"/>
      <c r="AV5" s="273" t="s">
        <v>43</v>
      </c>
      <c r="AW5" s="274"/>
      <c r="AX5" s="273" t="s">
        <v>44</v>
      </c>
      <c r="AY5" s="274"/>
      <c r="AZ5" s="273" t="s">
        <v>45</v>
      </c>
      <c r="BA5" s="274"/>
      <c r="BB5" s="273" t="s">
        <v>103</v>
      </c>
      <c r="BC5" s="274"/>
      <c r="BD5" s="273" t="s">
        <v>49</v>
      </c>
      <c r="BE5" s="274"/>
      <c r="BF5" s="263" t="s">
        <v>102</v>
      </c>
      <c r="BG5" s="264"/>
      <c r="BH5" s="273" t="s">
        <v>50</v>
      </c>
      <c r="BI5" s="274"/>
      <c r="BJ5" s="273" t="s">
        <v>51</v>
      </c>
      <c r="BK5" s="274"/>
      <c r="BL5" s="273" t="s">
        <v>52</v>
      </c>
      <c r="BM5" s="274"/>
      <c r="BN5" s="273" t="s">
        <v>53</v>
      </c>
      <c r="BO5" s="274"/>
      <c r="BP5" s="273" t="s">
        <v>46</v>
      </c>
      <c r="BQ5" s="274"/>
      <c r="BR5" s="273" t="s">
        <v>47</v>
      </c>
      <c r="BS5" s="274"/>
      <c r="BT5" s="273" t="s">
        <v>48</v>
      </c>
      <c r="BU5" s="274"/>
      <c r="BV5" s="273" t="s">
        <v>37</v>
      </c>
      <c r="BW5" s="274"/>
      <c r="BX5" s="273" t="s">
        <v>38</v>
      </c>
      <c r="BY5" s="274"/>
      <c r="BZ5" s="273" t="s">
        <v>67</v>
      </c>
      <c r="CA5" s="274"/>
      <c r="CB5" s="273" t="s">
        <v>101</v>
      </c>
      <c r="CC5" s="274"/>
      <c r="CD5" s="273" t="s">
        <v>106</v>
      </c>
      <c r="CE5" s="274"/>
      <c r="CF5" s="273" t="s">
        <v>68</v>
      </c>
      <c r="CG5" s="274"/>
      <c r="CH5" s="273" t="s">
        <v>69</v>
      </c>
      <c r="CI5" s="274"/>
      <c r="CJ5" s="273" t="s">
        <v>100</v>
      </c>
      <c r="CK5" s="277"/>
      <c r="CL5" s="272"/>
      <c r="CM5" s="272"/>
      <c r="CN5" s="268"/>
      <c r="CO5" s="267"/>
      <c r="CP5" s="268"/>
      <c r="CQ5" s="267"/>
      <c r="CR5" s="268"/>
      <c r="CS5" s="267"/>
      <c r="CT5" s="268"/>
      <c r="CU5" s="267"/>
      <c r="CV5" s="268"/>
      <c r="CW5" s="275" t="s">
        <v>91</v>
      </c>
      <c r="CX5" s="276"/>
      <c r="CY5" s="275" t="s">
        <v>89</v>
      </c>
      <c r="CZ5" s="276"/>
      <c r="DA5" s="263" t="s">
        <v>90</v>
      </c>
      <c r="DB5" s="264"/>
      <c r="DC5" s="293"/>
      <c r="DD5" s="294"/>
      <c r="DE5" s="267"/>
      <c r="DF5" s="268"/>
      <c r="DG5" s="267"/>
      <c r="DH5" s="268"/>
      <c r="DI5" s="267"/>
      <c r="DJ5" s="272"/>
      <c r="DK5" s="280"/>
    </row>
    <row r="6" spans="1:115" s="2" customFormat="1" ht="19.5" thickBot="1">
      <c r="A6" s="232"/>
      <c r="B6" s="154" t="s">
        <v>94</v>
      </c>
      <c r="C6" s="154" t="s">
        <v>95</v>
      </c>
      <c r="D6" s="154" t="s">
        <v>96</v>
      </c>
      <c r="E6" s="154" t="s">
        <v>95</v>
      </c>
      <c r="F6" s="154" t="s">
        <v>96</v>
      </c>
      <c r="G6" s="154" t="s">
        <v>95</v>
      </c>
      <c r="H6" s="154" t="s">
        <v>96</v>
      </c>
      <c r="I6" s="154" t="s">
        <v>95</v>
      </c>
      <c r="J6" s="154" t="s">
        <v>96</v>
      </c>
      <c r="K6" s="154" t="s">
        <v>95</v>
      </c>
      <c r="L6" s="154" t="s">
        <v>96</v>
      </c>
      <c r="M6" s="154" t="s">
        <v>95</v>
      </c>
      <c r="N6" s="154" t="s">
        <v>96</v>
      </c>
      <c r="O6" s="154" t="s">
        <v>95</v>
      </c>
      <c r="P6" s="154" t="s">
        <v>96</v>
      </c>
      <c r="Q6" s="154" t="s">
        <v>95</v>
      </c>
      <c r="R6" s="154" t="s">
        <v>96</v>
      </c>
      <c r="S6" s="154" t="s">
        <v>95</v>
      </c>
      <c r="T6" s="154" t="s">
        <v>96</v>
      </c>
      <c r="U6" s="154" t="s">
        <v>95</v>
      </c>
      <c r="V6" s="154" t="s">
        <v>96</v>
      </c>
      <c r="W6" s="154" t="s">
        <v>95</v>
      </c>
      <c r="X6" s="154" t="s">
        <v>96</v>
      </c>
      <c r="Y6" s="154" t="s">
        <v>95</v>
      </c>
      <c r="Z6" s="154" t="s">
        <v>96</v>
      </c>
      <c r="AA6" s="154" t="s">
        <v>95</v>
      </c>
      <c r="AB6" s="154" t="s">
        <v>96</v>
      </c>
      <c r="AC6" s="233" t="s">
        <v>97</v>
      </c>
      <c r="AD6" s="154" t="s">
        <v>95</v>
      </c>
      <c r="AE6" s="154" t="s">
        <v>96</v>
      </c>
      <c r="AF6" s="154" t="s">
        <v>95</v>
      </c>
      <c r="AG6" s="154" t="s">
        <v>96</v>
      </c>
      <c r="AH6" s="154" t="s">
        <v>95</v>
      </c>
      <c r="AI6" s="154" t="s">
        <v>96</v>
      </c>
      <c r="AJ6" s="154" t="s">
        <v>95</v>
      </c>
      <c r="AK6" s="154" t="s">
        <v>96</v>
      </c>
      <c r="AL6" s="154" t="s">
        <v>95</v>
      </c>
      <c r="AM6" s="154" t="s">
        <v>96</v>
      </c>
      <c r="AN6" s="154" t="s">
        <v>95</v>
      </c>
      <c r="AO6" s="154" t="s">
        <v>96</v>
      </c>
      <c r="AP6" s="154" t="s">
        <v>95</v>
      </c>
      <c r="AQ6" s="154" t="s">
        <v>96</v>
      </c>
      <c r="AR6" s="154" t="s">
        <v>95</v>
      </c>
      <c r="AS6" s="154" t="s">
        <v>96</v>
      </c>
      <c r="AT6" s="154" t="s">
        <v>95</v>
      </c>
      <c r="AU6" s="154" t="s">
        <v>96</v>
      </c>
      <c r="AV6" s="154" t="s">
        <v>95</v>
      </c>
      <c r="AW6" s="154" t="s">
        <v>96</v>
      </c>
      <c r="AX6" s="154" t="s">
        <v>95</v>
      </c>
      <c r="AY6" s="154" t="s">
        <v>96</v>
      </c>
      <c r="AZ6" s="154" t="s">
        <v>95</v>
      </c>
      <c r="BA6" s="154" t="s">
        <v>96</v>
      </c>
      <c r="BB6" s="154" t="s">
        <v>95</v>
      </c>
      <c r="BC6" s="154" t="s">
        <v>96</v>
      </c>
      <c r="BD6" s="154" t="s">
        <v>95</v>
      </c>
      <c r="BE6" s="154" t="s">
        <v>96</v>
      </c>
      <c r="BF6" s="154" t="s">
        <v>95</v>
      </c>
      <c r="BG6" s="154" t="s">
        <v>96</v>
      </c>
      <c r="BH6" s="154" t="s">
        <v>95</v>
      </c>
      <c r="BI6" s="154" t="s">
        <v>96</v>
      </c>
      <c r="BJ6" s="154" t="s">
        <v>95</v>
      </c>
      <c r="BK6" s="154" t="s">
        <v>96</v>
      </c>
      <c r="BL6" s="154" t="s">
        <v>95</v>
      </c>
      <c r="BM6" s="154" t="s">
        <v>96</v>
      </c>
      <c r="BN6" s="154" t="s">
        <v>95</v>
      </c>
      <c r="BO6" s="154" t="s">
        <v>96</v>
      </c>
      <c r="BP6" s="154" t="s">
        <v>95</v>
      </c>
      <c r="BQ6" s="154" t="s">
        <v>96</v>
      </c>
      <c r="BR6" s="154" t="s">
        <v>95</v>
      </c>
      <c r="BS6" s="154" t="s">
        <v>96</v>
      </c>
      <c r="BT6" s="154" t="s">
        <v>95</v>
      </c>
      <c r="BU6" s="154" t="s">
        <v>96</v>
      </c>
      <c r="BV6" s="154" t="s">
        <v>95</v>
      </c>
      <c r="BW6" s="154" t="s">
        <v>96</v>
      </c>
      <c r="BX6" s="154" t="s">
        <v>95</v>
      </c>
      <c r="BY6" s="154" t="s">
        <v>96</v>
      </c>
      <c r="BZ6" s="154" t="s">
        <v>95</v>
      </c>
      <c r="CA6" s="154" t="s">
        <v>96</v>
      </c>
      <c r="CB6" s="154" t="s">
        <v>95</v>
      </c>
      <c r="CC6" s="154" t="s">
        <v>96</v>
      </c>
      <c r="CD6" s="154" t="s">
        <v>95</v>
      </c>
      <c r="CE6" s="154" t="s">
        <v>96</v>
      </c>
      <c r="CF6" s="154" t="s">
        <v>95</v>
      </c>
      <c r="CG6" s="154" t="s">
        <v>96</v>
      </c>
      <c r="CH6" s="154" t="s">
        <v>95</v>
      </c>
      <c r="CI6" s="154" t="s">
        <v>96</v>
      </c>
      <c r="CJ6" s="154" t="s">
        <v>95</v>
      </c>
      <c r="CK6" s="154" t="s">
        <v>96</v>
      </c>
      <c r="CL6" s="154" t="s">
        <v>95</v>
      </c>
      <c r="CM6" s="154" t="s">
        <v>96</v>
      </c>
      <c r="CN6" s="234" t="s">
        <v>98</v>
      </c>
      <c r="CO6" s="154" t="s">
        <v>95</v>
      </c>
      <c r="CP6" s="155" t="s">
        <v>96</v>
      </c>
      <c r="CQ6" s="154" t="s">
        <v>95</v>
      </c>
      <c r="CR6" s="155" t="s">
        <v>96</v>
      </c>
      <c r="CS6" s="154" t="s">
        <v>95</v>
      </c>
      <c r="CT6" s="155" t="s">
        <v>96</v>
      </c>
      <c r="CU6" s="154" t="s">
        <v>95</v>
      </c>
      <c r="CV6" s="155" t="s">
        <v>96</v>
      </c>
      <c r="CW6" s="154" t="s">
        <v>95</v>
      </c>
      <c r="CX6" s="155" t="s">
        <v>96</v>
      </c>
      <c r="CY6" s="154" t="s">
        <v>95</v>
      </c>
      <c r="CZ6" s="155" t="s">
        <v>96</v>
      </c>
      <c r="DA6" s="154" t="s">
        <v>95</v>
      </c>
      <c r="DB6" s="155" t="s">
        <v>96</v>
      </c>
      <c r="DC6" s="154" t="s">
        <v>95</v>
      </c>
      <c r="DD6" s="155" t="s">
        <v>96</v>
      </c>
      <c r="DE6" s="154" t="s">
        <v>95</v>
      </c>
      <c r="DF6" s="155" t="s">
        <v>96</v>
      </c>
      <c r="DG6" s="154" t="s">
        <v>95</v>
      </c>
      <c r="DH6" s="155" t="s">
        <v>96</v>
      </c>
      <c r="DI6" s="154" t="s">
        <v>95</v>
      </c>
      <c r="DJ6" s="155" t="s">
        <v>96</v>
      </c>
      <c r="DK6" s="227" t="s">
        <v>99</v>
      </c>
    </row>
    <row r="7" spans="1:119" ht="22.5" customHeight="1" thickBot="1">
      <c r="A7" s="5">
        <v>1</v>
      </c>
      <c r="B7" s="5" t="s">
        <v>12</v>
      </c>
      <c r="C7" s="260">
        <f>999697.93*1.245</f>
        <v>1244623.9228500002</v>
      </c>
      <c r="D7" s="151">
        <f>165246.82*1.245</f>
        <v>205732.29090000002</v>
      </c>
      <c r="E7" s="151">
        <f>216177.86*1.252</f>
        <v>270654.68072</v>
      </c>
      <c r="F7" s="151">
        <f>36445.73*1.252</f>
        <v>45630.053960000005</v>
      </c>
      <c r="G7" s="152"/>
      <c r="H7" s="219">
        <v>118.56</v>
      </c>
      <c r="I7" s="152"/>
      <c r="J7" s="152"/>
      <c r="K7" s="152"/>
      <c r="L7" s="219">
        <v>1415</v>
      </c>
      <c r="M7" s="152"/>
      <c r="N7" s="152"/>
      <c r="O7" s="152"/>
      <c r="P7" s="219"/>
      <c r="Q7" s="152"/>
      <c r="R7" s="219"/>
      <c r="S7" s="152"/>
      <c r="T7" s="219">
        <v>874</v>
      </c>
      <c r="U7" s="152"/>
      <c r="V7" s="152"/>
      <c r="W7" s="152"/>
      <c r="X7" s="226"/>
      <c r="Y7" s="152"/>
      <c r="Z7" s="219"/>
      <c r="AA7" s="153">
        <f>G7+I7+K7+M7+O7+Q7+S7+U7+W7+Y7</f>
        <v>0</v>
      </c>
      <c r="AB7" s="153">
        <f>H7+J7+L7+N7+P7+R7+T7+V7+X7+Z7</f>
        <v>2407.56</v>
      </c>
      <c r="AC7" s="153">
        <f>AA7+AB7</f>
        <v>2407.56</v>
      </c>
      <c r="AD7" s="153"/>
      <c r="AE7" s="262"/>
      <c r="AF7" s="52"/>
      <c r="AG7" s="244">
        <v>1448.16</v>
      </c>
      <c r="AH7" s="66"/>
      <c r="AI7" s="63"/>
      <c r="AJ7" s="63"/>
      <c r="AK7" s="224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224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5"/>
      <c r="CK7" s="173"/>
      <c r="CL7" s="46">
        <f>AF7+AH7+AJ7+AL7+AN7+AP7+AR7+AT7+AV7+AX7+AZ7+BB7+BD7+BF7+BH7+BJ7+BL7+BN7+BP7+BR7+BT7+BV7+BX7+BZ7+CB7+CD7+CF7+CH7+CJ7</f>
        <v>0</v>
      </c>
      <c r="CM7" s="46">
        <f>AG7+AI7+AK7+AM7+AO7+AQ7+AS7+AU7+AW7+AY7+BA7+BC7+BE7+BG7+BI7+BK7+BM7+BO7+BQ7+BS7+BU7+BW7+BY7+CA7+CC7+CE7+CG7+CI7+CK7</f>
        <v>1448.16</v>
      </c>
      <c r="CN7" s="46">
        <f>CL7+CM7</f>
        <v>1448.16</v>
      </c>
      <c r="CO7" s="48"/>
      <c r="CP7" s="214"/>
      <c r="CQ7" s="173"/>
      <c r="CR7" s="217"/>
      <c r="CS7" s="52"/>
      <c r="CT7" s="65">
        <v>230.72</v>
      </c>
      <c r="CU7" s="65"/>
      <c r="CV7" s="152">
        <f>1975.61*0.396</f>
        <v>782.34156</v>
      </c>
      <c r="CW7" s="65"/>
      <c r="CX7" s="128"/>
      <c r="CY7" s="48"/>
      <c r="CZ7" s="48"/>
      <c r="DA7" s="48"/>
      <c r="DB7" s="48"/>
      <c r="DC7" s="48"/>
      <c r="DD7" s="46"/>
      <c r="DE7" s="173"/>
      <c r="DF7" s="173"/>
      <c r="DG7" s="173"/>
      <c r="DH7" s="173"/>
      <c r="DI7" s="217">
        <f>C7+E7+AA7+AD7+CL7+CO7+CQ7+CS7+CU7+CW7+CY7+DA7+DC7+DE7+DG7</f>
        <v>1515278.6035700003</v>
      </c>
      <c r="DJ7" s="218">
        <f>D7+F7+AB7+AE7+CM7+CP7+CR7+CT7+CV7+CX7+CZ7+DB7+DD7+DF7+DH7</f>
        <v>256231.12642000002</v>
      </c>
      <c r="DK7" s="183">
        <f>DI7+DJ7</f>
        <v>1771509.7299900004</v>
      </c>
      <c r="DM7" s="195"/>
      <c r="DO7" s="195"/>
    </row>
    <row r="8" spans="1:119" ht="38.25" thickBot="1">
      <c r="A8" s="6">
        <v>2</v>
      </c>
      <c r="B8" s="6" t="s">
        <v>93</v>
      </c>
      <c r="C8" s="203">
        <f>1452599.56*1.245</f>
        <v>1808486.4522000002</v>
      </c>
      <c r="D8" s="7">
        <f>144928.47*1.245</f>
        <v>180435.94515</v>
      </c>
      <c r="E8" s="7">
        <f>313918.31*1.252</f>
        <v>393025.72411999997</v>
      </c>
      <c r="F8" s="7">
        <f>31884.26*1.252</f>
        <v>39919.093519999995</v>
      </c>
      <c r="G8" s="8"/>
      <c r="H8" s="8">
        <v>202.8</v>
      </c>
      <c r="I8" s="8"/>
      <c r="J8" s="8"/>
      <c r="K8" s="8"/>
      <c r="L8" s="219">
        <v>1415</v>
      </c>
      <c r="M8" s="8"/>
      <c r="N8" s="8"/>
      <c r="O8" s="8"/>
      <c r="P8" s="8"/>
      <c r="Q8" s="8"/>
      <c r="R8" s="8"/>
      <c r="S8" s="8"/>
      <c r="T8" s="219">
        <v>874</v>
      </c>
      <c r="U8" s="8"/>
      <c r="V8" s="8"/>
      <c r="W8" s="8"/>
      <c r="X8" s="8"/>
      <c r="Y8" s="8"/>
      <c r="Z8" s="9"/>
      <c r="AA8" s="153">
        <f aca="true" t="shared" si="0" ref="AA8:AB14">G8+I8+K8+M8+O8+Q8+S8+U8+W8+Y8</f>
        <v>0</v>
      </c>
      <c r="AB8" s="153">
        <f t="shared" si="0"/>
        <v>2491.8</v>
      </c>
      <c r="AC8" s="153">
        <f aca="true" t="shared" si="1" ref="AC8:AC38">AA8+AB8</f>
        <v>2491.8</v>
      </c>
      <c r="AD8" s="9"/>
      <c r="AE8" s="213">
        <v>-13783.1</v>
      </c>
      <c r="AF8" s="50"/>
      <c r="AG8" s="7">
        <v>1077.82</v>
      </c>
      <c r="AH8" s="3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221">
        <v>3281</v>
      </c>
      <c r="CD8" s="10"/>
      <c r="CE8" s="10"/>
      <c r="CF8" s="10"/>
      <c r="CG8" s="63"/>
      <c r="CH8" s="10"/>
      <c r="CI8" s="10"/>
      <c r="CJ8" s="28"/>
      <c r="CK8" s="181">
        <v>17.74</v>
      </c>
      <c r="CL8" s="46">
        <f aca="true" t="shared" si="2" ref="CL8:CM38">AF8+AH8+AJ8+AL8+AN8+AP8+AR8+AT8+AV8+AX8+AZ8+BB8+BD8+BF8+BH8+BJ8+BL8+BN8+BP8+BR8+BT8+BV8+BX8+BZ8+CB8+CD8+CF8+CH8+CJ8</f>
        <v>0</v>
      </c>
      <c r="CM8" s="46">
        <f t="shared" si="2"/>
        <v>4376.5599999999995</v>
      </c>
      <c r="CN8" s="46">
        <f aca="true" t="shared" si="3" ref="CN8:CN40">CL8+CM8</f>
        <v>4376.5599999999995</v>
      </c>
      <c r="CO8" s="48"/>
      <c r="CP8" s="140"/>
      <c r="CQ8" s="181"/>
      <c r="CR8" s="216"/>
      <c r="CS8" s="50"/>
      <c r="CT8" s="28">
        <v>10837.64</v>
      </c>
      <c r="CU8" s="28"/>
      <c r="CV8" s="8">
        <f>1919.04*0.396</f>
        <v>759.93984</v>
      </c>
      <c r="CW8" s="28"/>
      <c r="CX8" s="127"/>
      <c r="CY8" s="39"/>
      <c r="CZ8" s="215">
        <f>(192.72+192.72)*0.298</f>
        <v>114.86112</v>
      </c>
      <c r="DA8" s="39"/>
      <c r="DB8" s="39"/>
      <c r="DC8" s="39"/>
      <c r="DD8" s="36"/>
      <c r="DE8" s="181"/>
      <c r="DF8" s="181"/>
      <c r="DG8" s="173"/>
      <c r="DH8" s="173"/>
      <c r="DI8" s="217">
        <f aca="true" t="shared" si="4" ref="DI8:DJ38">C8+E8+AA8+AD8+CL8+CO8+CQ8+CS8+CU8+CW8+CY8+DA8+DC8+DE8+DG8</f>
        <v>2201512.17632</v>
      </c>
      <c r="DJ8" s="218">
        <f t="shared" si="4"/>
        <v>225152.73963</v>
      </c>
      <c r="DK8" s="183">
        <f aca="true" t="shared" si="5" ref="DK8:DK38">DI8+DJ8</f>
        <v>2426664.9159500003</v>
      </c>
      <c r="DM8" s="195"/>
      <c r="DO8" s="195"/>
    </row>
    <row r="9" spans="1:119" ht="19.5" thickBot="1">
      <c r="A9" s="6">
        <v>3</v>
      </c>
      <c r="B9" s="6" t="s">
        <v>13</v>
      </c>
      <c r="C9" s="203">
        <f>417948.58*1.245</f>
        <v>520345.9821000001</v>
      </c>
      <c r="D9" s="7">
        <f>104313.38*1.245</f>
        <v>129870.15810000002</v>
      </c>
      <c r="E9" s="7">
        <f>91948.69*1.252</f>
        <v>115119.75988</v>
      </c>
      <c r="F9" s="7">
        <f>21866.96*1.252</f>
        <v>27377.43392</v>
      </c>
      <c r="G9" s="8"/>
      <c r="H9" s="8">
        <v>62.4</v>
      </c>
      <c r="I9" s="8"/>
      <c r="J9" s="8"/>
      <c r="K9" s="8"/>
      <c r="L9" s="225">
        <v>1415</v>
      </c>
      <c r="M9" s="8"/>
      <c r="N9" s="8"/>
      <c r="O9" s="8"/>
      <c r="P9" s="8"/>
      <c r="Q9" s="8"/>
      <c r="R9" s="8"/>
      <c r="S9" s="8"/>
      <c r="T9" s="219">
        <v>874</v>
      </c>
      <c r="U9" s="8"/>
      <c r="V9" s="8"/>
      <c r="W9" s="8"/>
      <c r="X9" s="8"/>
      <c r="Y9" s="8"/>
      <c r="Z9" s="9"/>
      <c r="AA9" s="153">
        <f t="shared" si="0"/>
        <v>0</v>
      </c>
      <c r="AB9" s="153">
        <f t="shared" si="0"/>
        <v>2351.4</v>
      </c>
      <c r="AC9" s="153">
        <f t="shared" si="1"/>
        <v>2351.4</v>
      </c>
      <c r="AD9" s="9"/>
      <c r="AE9" s="213">
        <v>-7350.4</v>
      </c>
      <c r="AF9" s="50"/>
      <c r="AG9" s="10">
        <v>557.04</v>
      </c>
      <c r="AH9" s="32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222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222"/>
      <c r="CD9" s="10"/>
      <c r="CE9" s="10"/>
      <c r="CF9" s="10"/>
      <c r="CG9" s="63"/>
      <c r="CH9" s="10"/>
      <c r="CI9" s="10"/>
      <c r="CJ9" s="28"/>
      <c r="CK9" s="181"/>
      <c r="CL9" s="46">
        <f t="shared" si="2"/>
        <v>0</v>
      </c>
      <c r="CM9" s="46">
        <f t="shared" si="2"/>
        <v>557.04</v>
      </c>
      <c r="CN9" s="46">
        <f t="shared" si="3"/>
        <v>557.04</v>
      </c>
      <c r="CO9" s="48"/>
      <c r="CP9" s="140"/>
      <c r="CQ9" s="181"/>
      <c r="CR9" s="216"/>
      <c r="CS9" s="50"/>
      <c r="CT9" s="28"/>
      <c r="CU9" s="28"/>
      <c r="CV9" s="8">
        <f>1111.14*0.396</f>
        <v>440.01144000000005</v>
      </c>
      <c r="CW9" s="28"/>
      <c r="CX9" s="127"/>
      <c r="CY9" s="39"/>
      <c r="CZ9" s="215">
        <f>(385.44+385.44)*0.298</f>
        <v>229.72224</v>
      </c>
      <c r="DA9" s="39"/>
      <c r="DB9" s="39"/>
      <c r="DC9" s="39"/>
      <c r="DD9" s="36"/>
      <c r="DE9" s="181"/>
      <c r="DF9" s="181"/>
      <c r="DG9" s="173"/>
      <c r="DH9" s="173"/>
      <c r="DI9" s="217">
        <f t="shared" si="4"/>
        <v>635465.74198</v>
      </c>
      <c r="DJ9" s="218">
        <f t="shared" si="4"/>
        <v>153475.36570000002</v>
      </c>
      <c r="DK9" s="183">
        <f t="shared" si="5"/>
        <v>788941.1076800001</v>
      </c>
      <c r="DM9" s="195"/>
      <c r="DO9" s="195"/>
    </row>
    <row r="10" spans="1:119" ht="19.5" thickBot="1">
      <c r="A10" s="6">
        <v>4</v>
      </c>
      <c r="B10" s="6" t="s">
        <v>14</v>
      </c>
      <c r="C10" s="203">
        <f>113656.75*1.245</f>
        <v>141502.65375</v>
      </c>
      <c r="D10" s="7">
        <f>27644.49*1.245</f>
        <v>34417.39005</v>
      </c>
      <c r="E10" s="7">
        <f>25004.49*1.252</f>
        <v>31305.62148</v>
      </c>
      <c r="F10" s="7">
        <f>6589.76*1.252</f>
        <v>8250.37952</v>
      </c>
      <c r="G10" s="8"/>
      <c r="H10" s="8">
        <v>18.72</v>
      </c>
      <c r="I10" s="8"/>
      <c r="J10" s="8"/>
      <c r="K10" s="8"/>
      <c r="L10" s="225">
        <f>8392+1415</f>
        <v>9807</v>
      </c>
      <c r="M10" s="8"/>
      <c r="N10" s="8"/>
      <c r="O10" s="8"/>
      <c r="P10" s="8"/>
      <c r="Q10" s="8"/>
      <c r="R10" s="8"/>
      <c r="S10" s="8"/>
      <c r="T10" s="219">
        <v>874</v>
      </c>
      <c r="U10" s="8"/>
      <c r="V10" s="8"/>
      <c r="W10" s="8"/>
      <c r="X10" s="8"/>
      <c r="Y10" s="8"/>
      <c r="Z10" s="8"/>
      <c r="AA10" s="153">
        <f t="shared" si="0"/>
        <v>0</v>
      </c>
      <c r="AB10" s="153">
        <f t="shared" si="0"/>
        <v>10699.72</v>
      </c>
      <c r="AC10" s="153">
        <f t="shared" si="1"/>
        <v>10699.72</v>
      </c>
      <c r="AD10" s="9"/>
      <c r="AE10" s="213"/>
      <c r="AF10" s="50"/>
      <c r="AG10" s="10">
        <v>144.64</v>
      </c>
      <c r="AH10" s="32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222"/>
      <c r="CD10" s="10"/>
      <c r="CE10" s="10"/>
      <c r="CF10" s="10"/>
      <c r="CG10" s="63"/>
      <c r="CH10" s="10"/>
      <c r="CI10" s="10"/>
      <c r="CJ10" s="28"/>
      <c r="CK10" s="181"/>
      <c r="CL10" s="46">
        <f t="shared" si="2"/>
        <v>0</v>
      </c>
      <c r="CM10" s="46">
        <f t="shared" si="2"/>
        <v>144.64</v>
      </c>
      <c r="CN10" s="46">
        <f t="shared" si="3"/>
        <v>144.64</v>
      </c>
      <c r="CO10" s="48"/>
      <c r="CP10" s="140"/>
      <c r="CQ10" s="181"/>
      <c r="CR10" s="216"/>
      <c r="CS10" s="50"/>
      <c r="CT10" s="8">
        <v>173.04</v>
      </c>
      <c r="CU10" s="28"/>
      <c r="CV10" s="8">
        <f>613.28*0.396</f>
        <v>242.85888</v>
      </c>
      <c r="CW10" s="28"/>
      <c r="CX10" s="127"/>
      <c r="CY10" s="39"/>
      <c r="CZ10" s="39"/>
      <c r="DA10" s="39"/>
      <c r="DB10" s="39"/>
      <c r="DC10" s="39"/>
      <c r="DD10" s="216"/>
      <c r="DE10" s="181"/>
      <c r="DF10" s="181"/>
      <c r="DG10" s="173"/>
      <c r="DH10" s="173"/>
      <c r="DI10" s="217">
        <f t="shared" si="4"/>
        <v>172808.27523</v>
      </c>
      <c r="DJ10" s="218">
        <f t="shared" si="4"/>
        <v>53928.028450000005</v>
      </c>
      <c r="DK10" s="183">
        <f t="shared" si="5"/>
        <v>226736.30368</v>
      </c>
      <c r="DM10" s="195"/>
      <c r="DO10" s="195"/>
    </row>
    <row r="11" spans="1:119" ht="19.5" thickBot="1">
      <c r="A11" s="6">
        <v>5</v>
      </c>
      <c r="B11" s="6" t="s">
        <v>8</v>
      </c>
      <c r="C11" s="203">
        <f>967817.98*1.245</f>
        <v>1204933.3851</v>
      </c>
      <c r="D11" s="7">
        <f>130403.77*1.245</f>
        <v>162352.69365000003</v>
      </c>
      <c r="E11" s="7">
        <f>200813.81*1.252</f>
        <v>251418.89012</v>
      </c>
      <c r="F11" s="7">
        <f>28901.95*1.252</f>
        <v>36185.2414</v>
      </c>
      <c r="G11" s="8"/>
      <c r="H11" s="8">
        <v>106.08</v>
      </c>
      <c r="I11" s="8"/>
      <c r="J11" s="8"/>
      <c r="K11" s="8"/>
      <c r="L11" s="225">
        <v>1415</v>
      </c>
      <c r="M11" s="8"/>
      <c r="N11" s="8"/>
      <c r="O11" s="8"/>
      <c r="P11" s="8"/>
      <c r="Q11" s="8"/>
      <c r="R11" s="8"/>
      <c r="S11" s="8"/>
      <c r="T11" s="219">
        <v>874</v>
      </c>
      <c r="U11" s="8"/>
      <c r="V11" s="8"/>
      <c r="W11" s="8"/>
      <c r="X11" s="8"/>
      <c r="Y11" s="8"/>
      <c r="Z11" s="8"/>
      <c r="AA11" s="153">
        <f t="shared" si="0"/>
        <v>0</v>
      </c>
      <c r="AB11" s="153">
        <f t="shared" si="0"/>
        <v>2395.08</v>
      </c>
      <c r="AC11" s="153">
        <f t="shared" si="1"/>
        <v>2395.08</v>
      </c>
      <c r="AD11" s="9"/>
      <c r="AE11" s="213"/>
      <c r="AF11" s="50"/>
      <c r="AG11" s="7">
        <v>789.3</v>
      </c>
      <c r="AH11" s="32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221">
        <v>1749</v>
      </c>
      <c r="CD11" s="10"/>
      <c r="CE11" s="10"/>
      <c r="CF11" s="10"/>
      <c r="CG11" s="63"/>
      <c r="CH11" s="10"/>
      <c r="CI11" s="10"/>
      <c r="CJ11" s="28"/>
      <c r="CK11" s="181"/>
      <c r="CL11" s="46">
        <f t="shared" si="2"/>
        <v>0</v>
      </c>
      <c r="CM11" s="46">
        <f t="shared" si="2"/>
        <v>2538.3</v>
      </c>
      <c r="CN11" s="46">
        <f t="shared" si="3"/>
        <v>2538.3</v>
      </c>
      <c r="CO11" s="48"/>
      <c r="CP11" s="140"/>
      <c r="CQ11" s="181"/>
      <c r="CR11" s="216"/>
      <c r="CS11" s="50"/>
      <c r="CT11" s="28">
        <v>3636.54</v>
      </c>
      <c r="CU11" s="28"/>
      <c r="CV11" s="8">
        <f>543.12*0.396</f>
        <v>215.07552</v>
      </c>
      <c r="CW11" s="28"/>
      <c r="CX11" s="127"/>
      <c r="CY11" s="39"/>
      <c r="CZ11" s="39"/>
      <c r="DA11" s="39"/>
      <c r="DB11" s="39"/>
      <c r="DC11" s="39"/>
      <c r="DD11" s="36"/>
      <c r="DE11" s="181"/>
      <c r="DF11" s="181"/>
      <c r="DG11" s="173"/>
      <c r="DH11" s="173"/>
      <c r="DI11" s="217">
        <f t="shared" si="4"/>
        <v>1456352.2752200002</v>
      </c>
      <c r="DJ11" s="218">
        <f t="shared" si="4"/>
        <v>207322.93057000003</v>
      </c>
      <c r="DK11" s="183">
        <f t="shared" si="5"/>
        <v>1663675.2057900003</v>
      </c>
      <c r="DM11" s="195"/>
      <c r="DO11" s="195"/>
    </row>
    <row r="12" spans="1:119" ht="19.5" thickBot="1">
      <c r="A12" s="6">
        <v>6</v>
      </c>
      <c r="B12" s="6" t="s">
        <v>15</v>
      </c>
      <c r="C12" s="203">
        <f>576723.57*1.245</f>
        <v>718020.84465</v>
      </c>
      <c r="D12" s="7">
        <f>58584.23*1.245</f>
        <v>72937.36635000001</v>
      </c>
      <c r="E12" s="7">
        <f>122985.33*1.252</f>
        <v>153977.63316</v>
      </c>
      <c r="F12" s="7">
        <f>12025.6*1.252</f>
        <v>15056.0512</v>
      </c>
      <c r="G12" s="8"/>
      <c r="H12" s="8">
        <v>46.8</v>
      </c>
      <c r="I12" s="8"/>
      <c r="J12" s="8"/>
      <c r="K12" s="8"/>
      <c r="L12" s="225">
        <v>1415</v>
      </c>
      <c r="M12" s="8"/>
      <c r="N12" s="8"/>
      <c r="O12" s="8"/>
      <c r="P12" s="8"/>
      <c r="Q12" s="8"/>
      <c r="R12" s="8"/>
      <c r="S12" s="8"/>
      <c r="T12" s="219">
        <v>874</v>
      </c>
      <c r="U12" s="8"/>
      <c r="V12" s="8"/>
      <c r="W12" s="8"/>
      <c r="X12" s="8"/>
      <c r="Y12" s="8"/>
      <c r="Z12" s="8"/>
      <c r="AA12" s="153">
        <f t="shared" si="0"/>
        <v>0</v>
      </c>
      <c r="AB12" s="153">
        <f t="shared" si="0"/>
        <v>2335.8</v>
      </c>
      <c r="AC12" s="153">
        <f t="shared" si="1"/>
        <v>2335.8</v>
      </c>
      <c r="AD12" s="9"/>
      <c r="AE12" s="127"/>
      <c r="AF12" s="50"/>
      <c r="AG12" s="10">
        <v>235.98</v>
      </c>
      <c r="AH12" s="32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222"/>
      <c r="CD12" s="10"/>
      <c r="CE12" s="10"/>
      <c r="CF12" s="10"/>
      <c r="CG12" s="63"/>
      <c r="CH12" s="10"/>
      <c r="CI12" s="10"/>
      <c r="CJ12" s="28"/>
      <c r="CK12" s="181"/>
      <c r="CL12" s="46">
        <f t="shared" si="2"/>
        <v>0</v>
      </c>
      <c r="CM12" s="46">
        <f t="shared" si="2"/>
        <v>235.98</v>
      </c>
      <c r="CN12" s="46">
        <f t="shared" si="3"/>
        <v>235.98</v>
      </c>
      <c r="CO12" s="48"/>
      <c r="CP12" s="140"/>
      <c r="CQ12" s="181"/>
      <c r="CR12" s="216"/>
      <c r="CS12" s="50"/>
      <c r="CT12" s="8">
        <v>215.9</v>
      </c>
      <c r="CU12" s="28"/>
      <c r="CV12" s="8">
        <f>289.67*0.396</f>
        <v>114.70932</v>
      </c>
      <c r="CW12" s="28"/>
      <c r="CX12" s="127"/>
      <c r="CY12" s="39"/>
      <c r="CZ12" s="39"/>
      <c r="DA12" s="39"/>
      <c r="DB12" s="39"/>
      <c r="DC12" s="39"/>
      <c r="DD12" s="36"/>
      <c r="DE12" s="181"/>
      <c r="DF12" s="181"/>
      <c r="DG12" s="173"/>
      <c r="DH12" s="173"/>
      <c r="DI12" s="217">
        <f t="shared" si="4"/>
        <v>871998.47781</v>
      </c>
      <c r="DJ12" s="218">
        <f t="shared" si="4"/>
        <v>90895.80687</v>
      </c>
      <c r="DK12" s="183">
        <f t="shared" si="5"/>
        <v>962894.2846799999</v>
      </c>
      <c r="DM12" s="195"/>
      <c r="DO12" s="195"/>
    </row>
    <row r="13" spans="1:119" ht="19.5" thickBot="1">
      <c r="A13" s="6">
        <v>7</v>
      </c>
      <c r="B13" s="6" t="s">
        <v>16</v>
      </c>
      <c r="C13" s="203">
        <f>(1028988.19+109592.34)*1.24</f>
        <v>1411839.8572</v>
      </c>
      <c r="D13" s="7">
        <f>146941.39*1.24</f>
        <v>182207.3236</v>
      </c>
      <c r="E13" s="7">
        <f>(222305.61+24110.31)*1.252</f>
        <v>308512.73183999996</v>
      </c>
      <c r="F13" s="7">
        <f>31429.39*1.252</f>
        <v>39349.59628</v>
      </c>
      <c r="G13" s="8"/>
      <c r="H13" s="8">
        <v>162.24</v>
      </c>
      <c r="I13" s="8"/>
      <c r="J13" s="8"/>
      <c r="K13" s="8"/>
      <c r="L13" s="225">
        <v>1415</v>
      </c>
      <c r="M13" s="8"/>
      <c r="N13" s="8"/>
      <c r="O13" s="8"/>
      <c r="P13" s="8"/>
      <c r="Q13" s="8"/>
      <c r="R13" s="8">
        <v>3870</v>
      </c>
      <c r="S13" s="8"/>
      <c r="T13" s="219">
        <v>874</v>
      </c>
      <c r="U13" s="8"/>
      <c r="V13" s="8"/>
      <c r="W13" s="8"/>
      <c r="X13" s="8"/>
      <c r="Y13" s="8"/>
      <c r="Z13" s="8"/>
      <c r="AA13" s="153">
        <f t="shared" si="0"/>
        <v>0</v>
      </c>
      <c r="AB13" s="153">
        <f t="shared" si="0"/>
        <v>6321.24</v>
      </c>
      <c r="AC13" s="153">
        <f t="shared" si="1"/>
        <v>6321.24</v>
      </c>
      <c r="AD13" s="9"/>
      <c r="AE13" s="213">
        <v>-24794.2</v>
      </c>
      <c r="AF13" s="50"/>
      <c r="AG13" s="10">
        <v>1077.12</v>
      </c>
      <c r="AH13" s="32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222"/>
      <c r="CD13" s="10"/>
      <c r="CE13" s="10"/>
      <c r="CF13" s="10"/>
      <c r="CG13" s="63"/>
      <c r="CH13" s="10"/>
      <c r="CI13" s="10"/>
      <c r="CJ13" s="28"/>
      <c r="CK13" s="181"/>
      <c r="CL13" s="46">
        <f t="shared" si="2"/>
        <v>0</v>
      </c>
      <c r="CM13" s="46">
        <f t="shared" si="2"/>
        <v>1077.12</v>
      </c>
      <c r="CN13" s="46">
        <f t="shared" si="3"/>
        <v>1077.12</v>
      </c>
      <c r="CO13" s="48"/>
      <c r="CP13" s="140">
        <v>200</v>
      </c>
      <c r="CQ13" s="181"/>
      <c r="CR13" s="216"/>
      <c r="CS13" s="50"/>
      <c r="CT13" s="28">
        <v>3446.43</v>
      </c>
      <c r="CU13" s="28"/>
      <c r="CV13" s="8">
        <f>979.88*0.396</f>
        <v>388.03248</v>
      </c>
      <c r="CW13" s="28"/>
      <c r="CX13" s="127"/>
      <c r="CY13" s="39"/>
      <c r="CZ13" s="215">
        <f>(872.71+872.71)*0.298</f>
        <v>520.13516</v>
      </c>
      <c r="DA13" s="39"/>
      <c r="DB13" s="39"/>
      <c r="DC13" s="39"/>
      <c r="DD13" s="36"/>
      <c r="DE13" s="181"/>
      <c r="DF13" s="181"/>
      <c r="DG13" s="173"/>
      <c r="DH13" s="173"/>
      <c r="DI13" s="217">
        <f t="shared" si="4"/>
        <v>1720352.58904</v>
      </c>
      <c r="DJ13" s="218">
        <f t="shared" si="4"/>
        <v>208715.67751999997</v>
      </c>
      <c r="DK13" s="183">
        <f t="shared" si="5"/>
        <v>1929068.26656</v>
      </c>
      <c r="DM13" s="195"/>
      <c r="DO13" s="195"/>
    </row>
    <row r="14" spans="1:119" ht="19.5" thickBot="1">
      <c r="A14" s="6">
        <v>8</v>
      </c>
      <c r="B14" s="6" t="s">
        <v>17</v>
      </c>
      <c r="C14" s="203">
        <f>468819.08*1.24</f>
        <v>581335.6592</v>
      </c>
      <c r="D14" s="7">
        <f>75318.77*1.24</f>
        <v>93395.2748</v>
      </c>
      <c r="E14" s="7">
        <f>103140.2*1.252</f>
        <v>129131.5304</v>
      </c>
      <c r="F14" s="7">
        <f>21466.47*1.252</f>
        <v>26876.02044</v>
      </c>
      <c r="G14" s="8"/>
      <c r="H14" s="8">
        <v>34.32</v>
      </c>
      <c r="I14" s="8"/>
      <c r="J14" s="8"/>
      <c r="K14" s="8"/>
      <c r="L14" s="225">
        <f>22723+1415</f>
        <v>24138</v>
      </c>
      <c r="M14" s="8"/>
      <c r="N14" s="8"/>
      <c r="O14" s="8"/>
      <c r="P14" s="8"/>
      <c r="Q14" s="8"/>
      <c r="R14" s="8"/>
      <c r="S14" s="8"/>
      <c r="T14" s="219">
        <v>874</v>
      </c>
      <c r="U14" s="8"/>
      <c r="V14" s="8"/>
      <c r="W14" s="8"/>
      <c r="X14" s="8"/>
      <c r="Y14" s="8"/>
      <c r="Z14" s="219"/>
      <c r="AA14" s="153">
        <f t="shared" si="0"/>
        <v>0</v>
      </c>
      <c r="AB14" s="153">
        <f t="shared" si="0"/>
        <v>25046.32</v>
      </c>
      <c r="AC14" s="153">
        <f t="shared" si="1"/>
        <v>25046.32</v>
      </c>
      <c r="AD14" s="9"/>
      <c r="AE14" s="213"/>
      <c r="AF14" s="50"/>
      <c r="AG14" s="10">
        <v>235.98</v>
      </c>
      <c r="AH14" s="32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222"/>
      <c r="CD14" s="10"/>
      <c r="CE14" s="10"/>
      <c r="CF14" s="10"/>
      <c r="CG14" s="10"/>
      <c r="CH14" s="10"/>
      <c r="CI14" s="10"/>
      <c r="CJ14" s="28"/>
      <c r="CK14" s="181"/>
      <c r="CL14" s="46">
        <f t="shared" si="2"/>
        <v>0</v>
      </c>
      <c r="CM14" s="46">
        <f t="shared" si="2"/>
        <v>235.98</v>
      </c>
      <c r="CN14" s="46">
        <f t="shared" si="3"/>
        <v>235.98</v>
      </c>
      <c r="CO14" s="48"/>
      <c r="CP14" s="140"/>
      <c r="CQ14" s="181"/>
      <c r="CR14" s="216"/>
      <c r="CS14" s="50"/>
      <c r="CT14" s="8"/>
      <c r="CU14" s="28"/>
      <c r="CV14" s="8">
        <f>1185.75*0.396</f>
        <v>469.557</v>
      </c>
      <c r="CW14" s="28"/>
      <c r="CX14" s="127"/>
      <c r="CY14" s="39"/>
      <c r="CZ14" s="215"/>
      <c r="DA14" s="39"/>
      <c r="DB14" s="39"/>
      <c r="DC14" s="39"/>
      <c r="DD14" s="36"/>
      <c r="DE14" s="181"/>
      <c r="DF14" s="181"/>
      <c r="DG14" s="173"/>
      <c r="DH14" s="173"/>
      <c r="DI14" s="217">
        <f t="shared" si="4"/>
        <v>710467.1896</v>
      </c>
      <c r="DJ14" s="218">
        <f t="shared" si="4"/>
        <v>146023.15224000002</v>
      </c>
      <c r="DK14" s="183">
        <f t="shared" si="5"/>
        <v>856490.3418400001</v>
      </c>
      <c r="DM14" s="195"/>
      <c r="DO14" s="195"/>
    </row>
    <row r="15" spans="1:119" ht="19.5" thickBot="1">
      <c r="A15" s="6">
        <v>9</v>
      </c>
      <c r="B15" s="6" t="s">
        <v>18</v>
      </c>
      <c r="C15" s="203">
        <f>362714.97*1.24</f>
        <v>449766.56279999996</v>
      </c>
      <c r="D15" s="7">
        <f>71255.14*1.24</f>
        <v>88356.37359999999</v>
      </c>
      <c r="E15" s="7">
        <f>79797.29*1.252</f>
        <v>99906.20708</v>
      </c>
      <c r="F15" s="7">
        <f>15935.9*1.252</f>
        <v>19951.7468</v>
      </c>
      <c r="G15" s="8"/>
      <c r="H15" s="8">
        <v>46.8</v>
      </c>
      <c r="I15" s="8"/>
      <c r="J15" s="8"/>
      <c r="K15" s="8"/>
      <c r="L15" s="225">
        <v>1415</v>
      </c>
      <c r="M15" s="8"/>
      <c r="N15" s="8"/>
      <c r="O15" s="8"/>
      <c r="P15" s="8"/>
      <c r="Q15" s="8"/>
      <c r="R15" s="8"/>
      <c r="S15" s="8"/>
      <c r="T15" s="219">
        <v>874</v>
      </c>
      <c r="U15" s="8"/>
      <c r="V15" s="8"/>
      <c r="W15" s="8"/>
      <c r="X15" s="8"/>
      <c r="Y15" s="8"/>
      <c r="Z15" s="8"/>
      <c r="AA15" s="153">
        <f>G15+I15+K15+M15+O15+Q15+S15+U15+W15+Y15</f>
        <v>0</v>
      </c>
      <c r="AB15" s="153">
        <f>H15+J15+L15+N15+P15+R15+T15+V15+X15+Z15</f>
        <v>2335.8</v>
      </c>
      <c r="AC15" s="153">
        <f t="shared" si="1"/>
        <v>2335.8</v>
      </c>
      <c r="AD15" s="9"/>
      <c r="AE15" s="127"/>
      <c r="AF15" s="50"/>
      <c r="AG15" s="10">
        <v>557.04</v>
      </c>
      <c r="AH15" s="32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28"/>
      <c r="CK15" s="181"/>
      <c r="CL15" s="46">
        <f t="shared" si="2"/>
        <v>0</v>
      </c>
      <c r="CM15" s="46">
        <f t="shared" si="2"/>
        <v>557.04</v>
      </c>
      <c r="CN15" s="46">
        <f t="shared" si="3"/>
        <v>557.04</v>
      </c>
      <c r="CO15" s="48"/>
      <c r="CP15" s="50"/>
      <c r="CQ15" s="181"/>
      <c r="CR15" s="216"/>
      <c r="CS15" s="50"/>
      <c r="CT15" s="28">
        <v>92.29</v>
      </c>
      <c r="CU15" s="28"/>
      <c r="CV15" s="8">
        <f>396.03*0.396</f>
        <v>156.82788</v>
      </c>
      <c r="CW15" s="28"/>
      <c r="CX15" s="127"/>
      <c r="CY15" s="39"/>
      <c r="CZ15" s="215">
        <f>314.55*0.298</f>
        <v>93.7359</v>
      </c>
      <c r="DA15" s="39"/>
      <c r="DB15" s="39"/>
      <c r="DC15" s="39"/>
      <c r="DD15" s="36"/>
      <c r="DE15" s="181"/>
      <c r="DF15" s="181"/>
      <c r="DG15" s="173"/>
      <c r="DH15" s="173"/>
      <c r="DI15" s="217">
        <f t="shared" si="4"/>
        <v>549672.7698799999</v>
      </c>
      <c r="DJ15" s="218">
        <f t="shared" si="4"/>
        <v>111543.81417999997</v>
      </c>
      <c r="DK15" s="183">
        <f t="shared" si="5"/>
        <v>661216.5840599999</v>
      </c>
      <c r="DM15" s="195"/>
      <c r="DO15" s="195"/>
    </row>
    <row r="16" spans="1:119" ht="19.5" thickBot="1">
      <c r="A16" s="6">
        <v>10</v>
      </c>
      <c r="B16" s="6" t="s">
        <v>9</v>
      </c>
      <c r="C16" s="203">
        <f>(203349.86+2990.66)*1.24</f>
        <v>255862.2448</v>
      </c>
      <c r="D16" s="7">
        <f>129861.97*1.24</f>
        <v>161028.8428</v>
      </c>
      <c r="E16" s="7">
        <f>(44736.97+657.95)*1.252</f>
        <v>56834.43984</v>
      </c>
      <c r="F16" s="7">
        <f>28604.78*1.252</f>
        <v>35813.18456</v>
      </c>
      <c r="G16" s="8"/>
      <c r="H16" s="8">
        <v>134.16</v>
      </c>
      <c r="I16" s="8"/>
      <c r="J16" s="8"/>
      <c r="K16" s="8"/>
      <c r="L16" s="225">
        <v>1415</v>
      </c>
      <c r="M16" s="8"/>
      <c r="N16" s="8"/>
      <c r="O16" s="8"/>
      <c r="P16" s="8"/>
      <c r="Q16" s="8"/>
      <c r="R16" s="8"/>
      <c r="S16" s="8"/>
      <c r="T16" s="219">
        <v>874</v>
      </c>
      <c r="U16" s="8"/>
      <c r="V16" s="8"/>
      <c r="W16" s="8"/>
      <c r="X16" s="8"/>
      <c r="Y16" s="8"/>
      <c r="Z16" s="8"/>
      <c r="AA16" s="153">
        <f aca="true" t="shared" si="6" ref="AA16:AB38">G16+I16+K16+M16+O16+Q16+S16+U16+W16+Y16</f>
        <v>0</v>
      </c>
      <c r="AB16" s="153">
        <f t="shared" si="6"/>
        <v>2423.16</v>
      </c>
      <c r="AC16" s="153">
        <f t="shared" si="1"/>
        <v>2423.16</v>
      </c>
      <c r="AD16" s="9"/>
      <c r="AE16" s="213"/>
      <c r="AF16" s="50"/>
      <c r="AG16" s="10">
        <v>557.04</v>
      </c>
      <c r="AH16" s="32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28"/>
      <c r="CK16" s="181"/>
      <c r="CL16" s="46">
        <f t="shared" si="2"/>
        <v>0</v>
      </c>
      <c r="CM16" s="46">
        <f t="shared" si="2"/>
        <v>557.04</v>
      </c>
      <c r="CN16" s="46">
        <f t="shared" si="3"/>
        <v>557.04</v>
      </c>
      <c r="CO16" s="48"/>
      <c r="CP16" s="140"/>
      <c r="CQ16" s="181"/>
      <c r="CR16" s="216"/>
      <c r="CS16" s="50"/>
      <c r="CT16" s="28">
        <v>484.51</v>
      </c>
      <c r="CU16" s="28"/>
      <c r="CV16" s="8">
        <f>1556.96*0.396</f>
        <v>616.5561600000001</v>
      </c>
      <c r="CW16" s="28"/>
      <c r="CX16" s="127"/>
      <c r="CY16" s="39"/>
      <c r="CZ16" s="215"/>
      <c r="DA16" s="39"/>
      <c r="DB16" s="39"/>
      <c r="DC16" s="39"/>
      <c r="DD16" s="36"/>
      <c r="DE16" s="181"/>
      <c r="DF16" s="181"/>
      <c r="DG16" s="173"/>
      <c r="DH16" s="173"/>
      <c r="DI16" s="217">
        <f t="shared" si="4"/>
        <v>312696.68464</v>
      </c>
      <c r="DJ16" s="218">
        <f t="shared" si="4"/>
        <v>200923.29352000004</v>
      </c>
      <c r="DK16" s="183">
        <f t="shared" si="5"/>
        <v>513619.97816000006</v>
      </c>
      <c r="DM16" s="195"/>
      <c r="DO16" s="195"/>
    </row>
    <row r="17" spans="1:119" ht="19.5" thickBot="1">
      <c r="A17" s="6">
        <v>11</v>
      </c>
      <c r="B17" s="6" t="s">
        <v>19</v>
      </c>
      <c r="C17" s="203">
        <f>165246.11*1.24</f>
        <v>204905.17639999997</v>
      </c>
      <c r="D17" s="7">
        <f>77185.38*1.24</f>
        <v>95709.87120000001</v>
      </c>
      <c r="E17" s="7">
        <f>37120.1*1.252</f>
        <v>46474.3652</v>
      </c>
      <c r="F17" s="7">
        <f>17092.56*1.252</f>
        <v>21399.885120000003</v>
      </c>
      <c r="G17" s="8"/>
      <c r="H17" s="8">
        <v>37.44</v>
      </c>
      <c r="I17" s="8"/>
      <c r="J17" s="8"/>
      <c r="K17" s="8"/>
      <c r="L17" s="225">
        <v>1415</v>
      </c>
      <c r="M17" s="8"/>
      <c r="N17" s="8"/>
      <c r="O17" s="8"/>
      <c r="P17" s="8"/>
      <c r="Q17" s="8"/>
      <c r="R17" s="8"/>
      <c r="S17" s="8"/>
      <c r="T17" s="219">
        <v>874</v>
      </c>
      <c r="U17" s="8"/>
      <c r="V17" s="8"/>
      <c r="W17" s="8"/>
      <c r="X17" s="8"/>
      <c r="Y17" s="8"/>
      <c r="Z17" s="8"/>
      <c r="AA17" s="153">
        <f t="shared" si="6"/>
        <v>0</v>
      </c>
      <c r="AB17" s="153">
        <f t="shared" si="6"/>
        <v>2326.44</v>
      </c>
      <c r="AC17" s="153">
        <f t="shared" si="1"/>
        <v>2326.44</v>
      </c>
      <c r="AD17" s="9"/>
      <c r="AE17" s="213"/>
      <c r="AF17" s="50"/>
      <c r="AG17" s="7">
        <v>343.55</v>
      </c>
      <c r="AH17" s="32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28"/>
      <c r="CK17" s="181"/>
      <c r="CL17" s="46">
        <f t="shared" si="2"/>
        <v>0</v>
      </c>
      <c r="CM17" s="46">
        <f t="shared" si="2"/>
        <v>343.55</v>
      </c>
      <c r="CN17" s="46">
        <f t="shared" si="3"/>
        <v>343.55</v>
      </c>
      <c r="CO17" s="48"/>
      <c r="CP17" s="140"/>
      <c r="CQ17" s="181"/>
      <c r="CR17" s="216"/>
      <c r="CS17" s="50"/>
      <c r="CT17" s="28">
        <v>57.68</v>
      </c>
      <c r="CU17" s="28"/>
      <c r="CV17" s="8">
        <f>221.77*0.396</f>
        <v>87.82092000000002</v>
      </c>
      <c r="CW17" s="28"/>
      <c r="CX17" s="127"/>
      <c r="CY17" s="39"/>
      <c r="CZ17" s="39"/>
      <c r="DA17" s="39"/>
      <c r="DB17" s="39"/>
      <c r="DC17" s="39"/>
      <c r="DD17" s="216">
        <v>1944</v>
      </c>
      <c r="DE17" s="181"/>
      <c r="DF17" s="181"/>
      <c r="DG17" s="173"/>
      <c r="DH17" s="173"/>
      <c r="DI17" s="217">
        <f t="shared" si="4"/>
        <v>251379.54159999997</v>
      </c>
      <c r="DJ17" s="218">
        <f t="shared" si="4"/>
        <v>121869.24724000001</v>
      </c>
      <c r="DK17" s="183">
        <f t="shared" si="5"/>
        <v>373248.78884</v>
      </c>
      <c r="DM17" s="195"/>
      <c r="DO17" s="195"/>
    </row>
    <row r="18" spans="1:119" ht="19.5" thickBot="1">
      <c r="A18" s="6">
        <v>12</v>
      </c>
      <c r="B18" s="6" t="s">
        <v>20</v>
      </c>
      <c r="C18" s="203">
        <f>(573321.62+32654.81)*1.24</f>
        <v>751410.7732</v>
      </c>
      <c r="D18" s="7">
        <f>98017.62*1.24</f>
        <v>121541.84879999999</v>
      </c>
      <c r="E18" s="7">
        <f>(126666.41+7184.06)*1.252</f>
        <v>167580.78844</v>
      </c>
      <c r="F18" s="7">
        <f>21683.64*1.252</f>
        <v>27147.917279999998</v>
      </c>
      <c r="G18" s="8"/>
      <c r="H18" s="8">
        <v>53.04</v>
      </c>
      <c r="I18" s="8"/>
      <c r="J18" s="8"/>
      <c r="K18" s="8"/>
      <c r="L18" s="225">
        <f>18032+1415</f>
        <v>19447</v>
      </c>
      <c r="M18" s="8"/>
      <c r="N18" s="8"/>
      <c r="O18" s="8"/>
      <c r="P18" s="8"/>
      <c r="Q18" s="8"/>
      <c r="R18" s="8"/>
      <c r="S18" s="8"/>
      <c r="T18" s="219">
        <v>874</v>
      </c>
      <c r="U18" s="8"/>
      <c r="V18" s="8"/>
      <c r="W18" s="8"/>
      <c r="X18" s="8"/>
      <c r="Y18" s="8"/>
      <c r="Z18" s="8"/>
      <c r="AA18" s="153">
        <f t="shared" si="6"/>
        <v>0</v>
      </c>
      <c r="AB18" s="153">
        <f t="shared" si="6"/>
        <v>20374.04</v>
      </c>
      <c r="AC18" s="153">
        <f t="shared" si="1"/>
        <v>20374.04</v>
      </c>
      <c r="AD18" s="9"/>
      <c r="AE18" s="213"/>
      <c r="AF18" s="50"/>
      <c r="AG18" s="10">
        <v>139.55</v>
      </c>
      <c r="AH18" s="32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222"/>
      <c r="CD18" s="10"/>
      <c r="CE18" s="10"/>
      <c r="CF18" s="10"/>
      <c r="CG18" s="10"/>
      <c r="CH18" s="10"/>
      <c r="CI18" s="10"/>
      <c r="CJ18" s="28"/>
      <c r="CK18" s="181"/>
      <c r="CL18" s="46">
        <f t="shared" si="2"/>
        <v>0</v>
      </c>
      <c r="CM18" s="46">
        <f t="shared" si="2"/>
        <v>139.55</v>
      </c>
      <c r="CN18" s="46">
        <f t="shared" si="3"/>
        <v>139.55</v>
      </c>
      <c r="CO18" s="48"/>
      <c r="CP18" s="140"/>
      <c r="CQ18" s="181"/>
      <c r="CR18" s="216"/>
      <c r="CS18" s="50"/>
      <c r="CT18" s="28"/>
      <c r="CU18" s="28"/>
      <c r="CV18" s="8">
        <f>995.73*0.396</f>
        <v>394.30908000000005</v>
      </c>
      <c r="CW18" s="28"/>
      <c r="CX18" s="127"/>
      <c r="CY18" s="39"/>
      <c r="CZ18" s="215"/>
      <c r="DA18" s="39"/>
      <c r="DB18" s="39"/>
      <c r="DC18" s="39"/>
      <c r="DD18" s="216"/>
      <c r="DE18" s="181"/>
      <c r="DF18" s="181"/>
      <c r="DG18" s="173"/>
      <c r="DH18" s="173"/>
      <c r="DI18" s="217">
        <f t="shared" si="4"/>
        <v>918991.5616400001</v>
      </c>
      <c r="DJ18" s="218">
        <f t="shared" si="4"/>
        <v>169597.66516</v>
      </c>
      <c r="DK18" s="183">
        <f t="shared" si="5"/>
        <v>1088589.2268</v>
      </c>
      <c r="DM18" s="195"/>
      <c r="DO18" s="195"/>
    </row>
    <row r="19" spans="1:119" ht="19.5" thickBot="1">
      <c r="A19" s="6">
        <v>13</v>
      </c>
      <c r="B19" s="6" t="s">
        <v>21</v>
      </c>
      <c r="C19" s="203">
        <f>262020.63*1.24</f>
        <v>324905.5812</v>
      </c>
      <c r="D19" s="7">
        <f>89255.29*1.24</f>
        <v>110676.5596</v>
      </c>
      <c r="E19" s="7">
        <f>56885.98*1.252</f>
        <v>71221.24696</v>
      </c>
      <c r="F19" s="7">
        <f>19427.65*1.252</f>
        <v>24323.417800000003</v>
      </c>
      <c r="G19" s="8"/>
      <c r="H19" s="8">
        <v>24.96</v>
      </c>
      <c r="I19" s="8"/>
      <c r="J19" s="8"/>
      <c r="K19" s="8"/>
      <c r="L19" s="225">
        <f>22852+1415</f>
        <v>24267</v>
      </c>
      <c r="M19" s="8"/>
      <c r="N19" s="8"/>
      <c r="O19" s="8"/>
      <c r="P19" s="8"/>
      <c r="Q19" s="8"/>
      <c r="R19" s="8"/>
      <c r="S19" s="8"/>
      <c r="T19" s="219">
        <v>874</v>
      </c>
      <c r="U19" s="8"/>
      <c r="V19" s="8"/>
      <c r="W19" s="8"/>
      <c r="X19" s="8"/>
      <c r="Y19" s="8"/>
      <c r="Z19" s="8"/>
      <c r="AA19" s="153">
        <f t="shared" si="6"/>
        <v>0</v>
      </c>
      <c r="AB19" s="153">
        <f t="shared" si="6"/>
        <v>25165.96</v>
      </c>
      <c r="AC19" s="153">
        <f t="shared" si="1"/>
        <v>25165.96</v>
      </c>
      <c r="AD19" s="9"/>
      <c r="AE19" s="213">
        <v>-1055.8</v>
      </c>
      <c r="AF19" s="50"/>
      <c r="AG19" s="7">
        <v>241.56</v>
      </c>
      <c r="AH19" s="32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28"/>
      <c r="CK19" s="181"/>
      <c r="CL19" s="46">
        <f t="shared" si="2"/>
        <v>0</v>
      </c>
      <c r="CM19" s="46">
        <f t="shared" si="2"/>
        <v>241.56</v>
      </c>
      <c r="CN19" s="46">
        <f t="shared" si="3"/>
        <v>241.56</v>
      </c>
      <c r="CO19" s="48"/>
      <c r="CP19" s="140"/>
      <c r="CQ19" s="181"/>
      <c r="CR19" s="259"/>
      <c r="CS19" s="50"/>
      <c r="CT19" s="28"/>
      <c r="CU19" s="28"/>
      <c r="CV19" s="8">
        <f>581.6*0.396</f>
        <v>230.3136</v>
      </c>
      <c r="CW19" s="28"/>
      <c r="CX19" s="127"/>
      <c r="CY19" s="39"/>
      <c r="CZ19" s="39"/>
      <c r="DA19" s="39"/>
      <c r="DB19" s="39"/>
      <c r="DC19" s="39"/>
      <c r="DD19" s="216"/>
      <c r="DE19" s="181"/>
      <c r="DF19" s="181"/>
      <c r="DG19" s="173"/>
      <c r="DH19" s="173"/>
      <c r="DI19" s="217">
        <f t="shared" si="4"/>
        <v>396126.82816000003</v>
      </c>
      <c r="DJ19" s="218">
        <f t="shared" si="4"/>
        <v>159582.011</v>
      </c>
      <c r="DK19" s="183">
        <f t="shared" si="5"/>
        <v>555708.83916</v>
      </c>
      <c r="DM19" s="195"/>
      <c r="DO19" s="195"/>
    </row>
    <row r="20" spans="1:119" ht="38.25" thickBot="1">
      <c r="A20" s="6">
        <v>14</v>
      </c>
      <c r="B20" s="6" t="s">
        <v>75</v>
      </c>
      <c r="C20" s="203">
        <f>694915.09*1.24</f>
        <v>861694.7115999999</v>
      </c>
      <c r="D20" s="7">
        <f>105393.45*1.24</f>
        <v>130687.878</v>
      </c>
      <c r="E20" s="7">
        <f>153225.96*1.252</f>
        <v>191838.90192</v>
      </c>
      <c r="F20" s="7">
        <f>25019.85*1.252</f>
        <v>31324.852199999998</v>
      </c>
      <c r="G20" s="8"/>
      <c r="H20" s="8">
        <v>43.68</v>
      </c>
      <c r="I20" s="8"/>
      <c r="J20" s="8"/>
      <c r="K20" s="8"/>
      <c r="L20" s="225">
        <f>36107+1415</f>
        <v>37522</v>
      </c>
      <c r="M20" s="8"/>
      <c r="N20" s="8"/>
      <c r="O20" s="8"/>
      <c r="P20" s="8"/>
      <c r="Q20" s="8"/>
      <c r="R20" s="8"/>
      <c r="S20" s="8"/>
      <c r="T20" s="219">
        <v>874</v>
      </c>
      <c r="U20" s="8"/>
      <c r="V20" s="8"/>
      <c r="W20" s="8"/>
      <c r="X20" s="8"/>
      <c r="Y20" s="8"/>
      <c r="Z20" s="8"/>
      <c r="AA20" s="153">
        <f t="shared" si="6"/>
        <v>0</v>
      </c>
      <c r="AB20" s="153">
        <f t="shared" si="6"/>
        <v>38439.68</v>
      </c>
      <c r="AC20" s="153">
        <f t="shared" si="1"/>
        <v>38439.68</v>
      </c>
      <c r="AD20" s="9"/>
      <c r="AE20" s="213">
        <v>-1009.3</v>
      </c>
      <c r="AF20" s="50"/>
      <c r="AG20" s="7">
        <v>337.97</v>
      </c>
      <c r="AH20" s="32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7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28"/>
      <c r="CK20" s="181"/>
      <c r="CL20" s="46">
        <f t="shared" si="2"/>
        <v>0</v>
      </c>
      <c r="CM20" s="46">
        <f t="shared" si="2"/>
        <v>337.97</v>
      </c>
      <c r="CN20" s="46">
        <f t="shared" si="3"/>
        <v>337.97</v>
      </c>
      <c r="CO20" s="48"/>
      <c r="CP20" s="140"/>
      <c r="CQ20" s="181"/>
      <c r="CR20" s="216"/>
      <c r="CS20" s="50"/>
      <c r="CT20" s="28"/>
      <c r="CU20" s="28"/>
      <c r="CV20" s="8">
        <f>742.27*0.396</f>
        <v>293.93892</v>
      </c>
      <c r="CW20" s="28"/>
      <c r="CX20" s="127"/>
      <c r="CY20" s="39"/>
      <c r="CZ20" s="215">
        <f>(295.98+295.98)*0.298</f>
        <v>176.40408</v>
      </c>
      <c r="DA20" s="39"/>
      <c r="DB20" s="39"/>
      <c r="DC20" s="39"/>
      <c r="DD20" s="216"/>
      <c r="DE20" s="181"/>
      <c r="DF20" s="181"/>
      <c r="DG20" s="173"/>
      <c r="DH20" s="173"/>
      <c r="DI20" s="217">
        <f t="shared" si="4"/>
        <v>1053533.61352</v>
      </c>
      <c r="DJ20" s="218">
        <f t="shared" si="4"/>
        <v>200251.4232</v>
      </c>
      <c r="DK20" s="183">
        <f t="shared" si="5"/>
        <v>1253785.03672</v>
      </c>
      <c r="DM20" s="195"/>
      <c r="DO20" s="195"/>
    </row>
    <row r="21" spans="1:119" ht="19.5" thickBot="1">
      <c r="A21" s="6">
        <v>15</v>
      </c>
      <c r="B21" s="6" t="s">
        <v>22</v>
      </c>
      <c r="C21" s="203">
        <f>790928.27*1.24</f>
        <v>980751.0548</v>
      </c>
      <c r="D21" s="7">
        <f>78706.46*1.24</f>
        <v>97596.01040000001</v>
      </c>
      <c r="E21" s="7">
        <f>167989.61*1.252</f>
        <v>210322.99172</v>
      </c>
      <c r="F21" s="7">
        <f>17107.4*1.252</f>
        <v>21418.4648</v>
      </c>
      <c r="G21" s="8"/>
      <c r="H21" s="8">
        <v>49.92</v>
      </c>
      <c r="I21" s="8"/>
      <c r="J21" s="8"/>
      <c r="K21" s="8"/>
      <c r="L21" s="225">
        <v>1415</v>
      </c>
      <c r="M21" s="8"/>
      <c r="N21" s="8"/>
      <c r="O21" s="8"/>
      <c r="P21" s="8"/>
      <c r="Q21" s="8"/>
      <c r="R21" s="8"/>
      <c r="S21" s="8"/>
      <c r="T21" s="219">
        <v>874</v>
      </c>
      <c r="U21" s="8"/>
      <c r="V21" s="8"/>
      <c r="W21" s="8"/>
      <c r="X21" s="8"/>
      <c r="Y21" s="8"/>
      <c r="Z21" s="8"/>
      <c r="AA21" s="153">
        <f t="shared" si="6"/>
        <v>0</v>
      </c>
      <c r="AB21" s="153">
        <f t="shared" si="6"/>
        <v>2338.92</v>
      </c>
      <c r="AC21" s="153">
        <f t="shared" si="1"/>
        <v>2338.92</v>
      </c>
      <c r="AD21" s="9"/>
      <c r="AE21" s="127"/>
      <c r="AF21" s="50"/>
      <c r="AG21" s="10">
        <v>557.28</v>
      </c>
      <c r="AH21" s="32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28"/>
      <c r="CK21" s="181"/>
      <c r="CL21" s="46">
        <f t="shared" si="2"/>
        <v>0</v>
      </c>
      <c r="CM21" s="46">
        <f t="shared" si="2"/>
        <v>557.28</v>
      </c>
      <c r="CN21" s="46">
        <f t="shared" si="3"/>
        <v>557.28</v>
      </c>
      <c r="CO21" s="48"/>
      <c r="CP21" s="50"/>
      <c r="CQ21" s="181"/>
      <c r="CR21" s="216"/>
      <c r="CS21" s="50"/>
      <c r="CT21" s="28">
        <v>69.22</v>
      </c>
      <c r="CU21" s="28"/>
      <c r="CV21" s="8">
        <f>201.41*0.396</f>
        <v>79.75836</v>
      </c>
      <c r="CW21" s="28"/>
      <c r="CX21" s="127"/>
      <c r="CY21" s="39"/>
      <c r="CZ21" s="215">
        <f>(419.4+419.4)*0.298</f>
        <v>249.96239999999997</v>
      </c>
      <c r="DA21" s="39"/>
      <c r="DB21" s="39"/>
      <c r="DC21" s="39"/>
      <c r="DD21" s="36"/>
      <c r="DE21" s="181"/>
      <c r="DF21" s="181"/>
      <c r="DG21" s="173"/>
      <c r="DH21" s="173"/>
      <c r="DI21" s="217">
        <f t="shared" si="4"/>
        <v>1191074.04652</v>
      </c>
      <c r="DJ21" s="218">
        <f t="shared" si="4"/>
        <v>122309.61596000002</v>
      </c>
      <c r="DK21" s="183">
        <f t="shared" si="5"/>
        <v>1313383.6624800002</v>
      </c>
      <c r="DM21" s="195"/>
      <c r="DO21" s="195"/>
    </row>
    <row r="22" spans="1:119" ht="19.5" thickBot="1">
      <c r="A22" s="6">
        <v>16</v>
      </c>
      <c r="B22" s="6" t="s">
        <v>23</v>
      </c>
      <c r="C22" s="203">
        <f>472419.6*1.24</f>
        <v>585800.304</v>
      </c>
      <c r="D22" s="7">
        <f>71173.98*1.24</f>
        <v>88255.7352</v>
      </c>
      <c r="E22" s="7">
        <f>104975.66*1.252</f>
        <v>131429.52632</v>
      </c>
      <c r="F22" s="7">
        <f>12817.22*1.252</f>
        <v>16047.15944</v>
      </c>
      <c r="G22" s="8"/>
      <c r="H22" s="8">
        <v>15.6</v>
      </c>
      <c r="I22" s="8"/>
      <c r="J22" s="8"/>
      <c r="K22" s="8"/>
      <c r="L22" s="225">
        <f>82000+10802+1415</f>
        <v>94217</v>
      </c>
      <c r="M22" s="8"/>
      <c r="N22" s="8"/>
      <c r="O22" s="8"/>
      <c r="P22" s="8"/>
      <c r="Q22" s="8"/>
      <c r="R22" s="8"/>
      <c r="S22" s="8"/>
      <c r="T22" s="219">
        <v>874</v>
      </c>
      <c r="U22" s="8"/>
      <c r="V22" s="8"/>
      <c r="W22" s="8"/>
      <c r="X22" s="8"/>
      <c r="Y22" s="8"/>
      <c r="Z22" s="9"/>
      <c r="AA22" s="153">
        <f t="shared" si="6"/>
        <v>0</v>
      </c>
      <c r="AB22" s="153">
        <f t="shared" si="6"/>
        <v>95106.6</v>
      </c>
      <c r="AC22" s="153">
        <f t="shared" si="1"/>
        <v>95106.6</v>
      </c>
      <c r="AD22" s="9"/>
      <c r="AE22" s="213"/>
      <c r="AF22" s="50"/>
      <c r="AG22" s="7">
        <v>241.56</v>
      </c>
      <c r="AH22" s="32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28"/>
      <c r="CK22" s="181"/>
      <c r="CL22" s="46">
        <f t="shared" si="2"/>
        <v>0</v>
      </c>
      <c r="CM22" s="46">
        <f t="shared" si="2"/>
        <v>241.56</v>
      </c>
      <c r="CN22" s="46">
        <f t="shared" si="3"/>
        <v>241.56</v>
      </c>
      <c r="CO22" s="48"/>
      <c r="CP22" s="50"/>
      <c r="CQ22" s="181"/>
      <c r="CR22" s="216"/>
      <c r="CS22" s="140"/>
      <c r="CT22" s="8">
        <v>483.6</v>
      </c>
      <c r="CU22" s="28"/>
      <c r="CV22" s="8">
        <f>1215.24*0.396</f>
        <v>481.23504</v>
      </c>
      <c r="CW22" s="28"/>
      <c r="CX22" s="127"/>
      <c r="CY22" s="39"/>
      <c r="CZ22" s="39"/>
      <c r="DA22" s="39"/>
      <c r="DB22" s="39"/>
      <c r="DC22" s="39"/>
      <c r="DD22" s="216"/>
      <c r="DE22" s="181"/>
      <c r="DF22" s="181"/>
      <c r="DG22" s="173"/>
      <c r="DH22" s="173"/>
      <c r="DI22" s="217">
        <f t="shared" si="4"/>
        <v>717229.83032</v>
      </c>
      <c r="DJ22" s="218">
        <f t="shared" si="4"/>
        <v>200615.88968</v>
      </c>
      <c r="DK22" s="183">
        <f t="shared" si="5"/>
        <v>917845.72</v>
      </c>
      <c r="DM22" s="195"/>
      <c r="DO22" s="195"/>
    </row>
    <row r="23" spans="1:119" ht="19.5" thickBot="1">
      <c r="A23" s="6">
        <v>17</v>
      </c>
      <c r="B23" s="6" t="s">
        <v>24</v>
      </c>
      <c r="C23" s="203">
        <f>497121.5*1.24</f>
        <v>616430.66</v>
      </c>
      <c r="D23" s="7">
        <f>70922.55*1.24</f>
        <v>87943.962</v>
      </c>
      <c r="E23" s="7">
        <f>109366.73*1.252</f>
        <v>136927.14596</v>
      </c>
      <c r="F23" s="7">
        <f>15997.43*1.252</f>
        <v>20028.78236</v>
      </c>
      <c r="G23" s="8"/>
      <c r="H23" s="8">
        <v>34.32</v>
      </c>
      <c r="I23" s="8"/>
      <c r="J23" s="8"/>
      <c r="K23" s="8"/>
      <c r="L23" s="225">
        <v>1415</v>
      </c>
      <c r="M23" s="8"/>
      <c r="N23" s="8"/>
      <c r="O23" s="8"/>
      <c r="P23" s="8"/>
      <c r="Q23" s="8"/>
      <c r="R23" s="8"/>
      <c r="S23" s="8"/>
      <c r="T23" s="219">
        <v>874</v>
      </c>
      <c r="U23" s="8"/>
      <c r="V23" s="8"/>
      <c r="W23" s="8"/>
      <c r="X23" s="8"/>
      <c r="Y23" s="8"/>
      <c r="Z23" s="8"/>
      <c r="AA23" s="153">
        <f t="shared" si="6"/>
        <v>0</v>
      </c>
      <c r="AB23" s="153">
        <f t="shared" si="6"/>
        <v>2323.3199999999997</v>
      </c>
      <c r="AC23" s="153">
        <f t="shared" si="1"/>
        <v>2323.3199999999997</v>
      </c>
      <c r="AD23" s="9"/>
      <c r="AE23" s="213">
        <v>-2941.8</v>
      </c>
      <c r="AF23" s="50"/>
      <c r="AG23" s="10">
        <v>637.03</v>
      </c>
      <c r="AH23" s="32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28"/>
      <c r="CK23" s="181"/>
      <c r="CL23" s="46">
        <f t="shared" si="2"/>
        <v>0</v>
      </c>
      <c r="CM23" s="46">
        <f t="shared" si="2"/>
        <v>637.03</v>
      </c>
      <c r="CN23" s="46">
        <f t="shared" si="3"/>
        <v>637.03</v>
      </c>
      <c r="CO23" s="48"/>
      <c r="CP23" s="140">
        <v>464</v>
      </c>
      <c r="CQ23" s="181"/>
      <c r="CR23" s="216"/>
      <c r="CS23" s="140"/>
      <c r="CT23" s="28"/>
      <c r="CU23" s="28"/>
      <c r="CV23" s="8">
        <f>633.65*0.396</f>
        <v>250.9254</v>
      </c>
      <c r="CW23" s="28"/>
      <c r="CX23" s="127"/>
      <c r="CY23" s="39"/>
      <c r="CZ23" s="39"/>
      <c r="DA23" s="39"/>
      <c r="DB23" s="39"/>
      <c r="DC23" s="39"/>
      <c r="DD23" s="36"/>
      <c r="DE23" s="181"/>
      <c r="DF23" s="181"/>
      <c r="DG23" s="173"/>
      <c r="DH23" s="173"/>
      <c r="DI23" s="217">
        <f t="shared" si="4"/>
        <v>753357.80596</v>
      </c>
      <c r="DJ23" s="218">
        <f t="shared" si="4"/>
        <v>108706.21975999998</v>
      </c>
      <c r="DK23" s="183">
        <f t="shared" si="5"/>
        <v>862064.02572</v>
      </c>
      <c r="DM23" s="195"/>
      <c r="DO23" s="195"/>
    </row>
    <row r="24" spans="1:119" ht="36" customHeight="1" thickBot="1">
      <c r="A24" s="6">
        <v>18</v>
      </c>
      <c r="B24" s="6" t="s">
        <v>25</v>
      </c>
      <c r="C24" s="203">
        <f>552938.38*1.24</f>
        <v>685643.5912</v>
      </c>
      <c r="D24" s="7">
        <f>80949.94*1.24</f>
        <v>100377.9256</v>
      </c>
      <c r="E24" s="7">
        <f>121646.44*1.252</f>
        <v>152301.34288</v>
      </c>
      <c r="F24" s="7">
        <f>17834.51*1.252</f>
        <v>22328.80652</v>
      </c>
      <c r="G24" s="8"/>
      <c r="H24" s="8">
        <v>37.44</v>
      </c>
      <c r="I24" s="8"/>
      <c r="J24" s="8"/>
      <c r="K24" s="8"/>
      <c r="L24" s="225">
        <f>28877+1415</f>
        <v>30292</v>
      </c>
      <c r="M24" s="8"/>
      <c r="N24" s="8"/>
      <c r="O24" s="8"/>
      <c r="P24" s="8"/>
      <c r="Q24" s="8"/>
      <c r="R24" s="8"/>
      <c r="S24" s="8"/>
      <c r="T24" s="219">
        <v>874</v>
      </c>
      <c r="U24" s="8"/>
      <c r="V24" s="8"/>
      <c r="W24" s="8"/>
      <c r="X24" s="8"/>
      <c r="Y24" s="8"/>
      <c r="Z24" s="9"/>
      <c r="AA24" s="153">
        <f t="shared" si="6"/>
        <v>0</v>
      </c>
      <c r="AB24" s="153">
        <f t="shared" si="6"/>
        <v>31203.44</v>
      </c>
      <c r="AC24" s="153">
        <f t="shared" si="1"/>
        <v>31203.44</v>
      </c>
      <c r="AD24" s="9"/>
      <c r="AE24" s="213">
        <v>-2775.6</v>
      </c>
      <c r="AF24" s="50"/>
      <c r="AG24" s="10">
        <v>751.87</v>
      </c>
      <c r="AH24" s="3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28"/>
      <c r="CK24" s="181"/>
      <c r="CL24" s="46">
        <f t="shared" si="2"/>
        <v>0</v>
      </c>
      <c r="CM24" s="46">
        <f t="shared" si="2"/>
        <v>751.87</v>
      </c>
      <c r="CN24" s="46">
        <f t="shared" si="3"/>
        <v>751.87</v>
      </c>
      <c r="CO24" s="48"/>
      <c r="CP24" s="140"/>
      <c r="CQ24" s="181"/>
      <c r="CR24" s="216"/>
      <c r="CS24" s="50"/>
      <c r="CT24" s="28"/>
      <c r="CU24" s="28"/>
      <c r="CV24" s="8">
        <f>429.97*0.396</f>
        <v>170.26812</v>
      </c>
      <c r="CW24" s="28"/>
      <c r="CX24" s="127"/>
      <c r="CY24" s="39"/>
      <c r="CZ24" s="215">
        <f>(147.99+147.99)*0.298</f>
        <v>88.20204</v>
      </c>
      <c r="DA24" s="39"/>
      <c r="DB24" s="39"/>
      <c r="DC24" s="39"/>
      <c r="DD24" s="216"/>
      <c r="DE24" s="181"/>
      <c r="DF24" s="181"/>
      <c r="DG24" s="173"/>
      <c r="DH24" s="173"/>
      <c r="DI24" s="217">
        <f t="shared" si="4"/>
        <v>837944.93408</v>
      </c>
      <c r="DJ24" s="218">
        <f t="shared" si="4"/>
        <v>152144.91228</v>
      </c>
      <c r="DK24" s="183">
        <f t="shared" si="5"/>
        <v>990089.8463600001</v>
      </c>
      <c r="DM24" s="195"/>
      <c r="DO24" s="195"/>
    </row>
    <row r="25" spans="1:119" ht="32.25" customHeight="1" thickBot="1">
      <c r="A25" s="6">
        <v>19</v>
      </c>
      <c r="B25" s="6" t="s">
        <v>11</v>
      </c>
      <c r="C25" s="203">
        <f>336827.34*1.24</f>
        <v>417665.90160000004</v>
      </c>
      <c r="D25" s="7">
        <f>71173.01*1.24</f>
        <v>88254.5324</v>
      </c>
      <c r="E25" s="7">
        <f>69823.8*1.252</f>
        <v>87419.3976</v>
      </c>
      <c r="F25" s="7">
        <f>23054.84*1.252</f>
        <v>28864.65968</v>
      </c>
      <c r="G25" s="8"/>
      <c r="H25" s="8">
        <v>43.68</v>
      </c>
      <c r="I25" s="8"/>
      <c r="J25" s="8"/>
      <c r="K25" s="8"/>
      <c r="L25" s="225">
        <f>21647+1415</f>
        <v>23062</v>
      </c>
      <c r="M25" s="8"/>
      <c r="N25" s="8"/>
      <c r="O25" s="8"/>
      <c r="P25" s="8"/>
      <c r="Q25" s="8"/>
      <c r="R25" s="8"/>
      <c r="S25" s="8"/>
      <c r="T25" s="219">
        <v>874</v>
      </c>
      <c r="U25" s="8"/>
      <c r="V25" s="8"/>
      <c r="W25" s="8"/>
      <c r="X25" s="8"/>
      <c r="Y25" s="8"/>
      <c r="Z25" s="9"/>
      <c r="AA25" s="153">
        <f t="shared" si="6"/>
        <v>0</v>
      </c>
      <c r="AB25" s="153">
        <f t="shared" si="6"/>
        <v>23979.68</v>
      </c>
      <c r="AC25" s="153">
        <f t="shared" si="1"/>
        <v>23979.68</v>
      </c>
      <c r="AD25" s="9"/>
      <c r="AE25" s="213"/>
      <c r="AF25" s="50"/>
      <c r="AG25" s="10">
        <v>621.31</v>
      </c>
      <c r="AH25" s="32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28"/>
      <c r="CK25" s="181"/>
      <c r="CL25" s="46">
        <f t="shared" si="2"/>
        <v>0</v>
      </c>
      <c r="CM25" s="46">
        <f t="shared" si="2"/>
        <v>621.31</v>
      </c>
      <c r="CN25" s="46">
        <f t="shared" si="3"/>
        <v>621.31</v>
      </c>
      <c r="CO25" s="48"/>
      <c r="CP25" s="140">
        <v>208</v>
      </c>
      <c r="CQ25" s="181"/>
      <c r="CR25" s="216"/>
      <c r="CS25" s="50"/>
      <c r="CT25" s="28"/>
      <c r="CU25" s="28"/>
      <c r="CV25" s="8">
        <f>6746.06*0.396</f>
        <v>2671.43976</v>
      </c>
      <c r="CW25" s="28"/>
      <c r="CX25" s="127"/>
      <c r="CY25" s="39"/>
      <c r="CZ25" s="215">
        <f>(443.97+295.98+295.98+295.98)*0.298</f>
        <v>396.90918</v>
      </c>
      <c r="DA25" s="39"/>
      <c r="DB25" s="39"/>
      <c r="DC25" s="39"/>
      <c r="DD25" s="36"/>
      <c r="DE25" s="181"/>
      <c r="DF25" s="181"/>
      <c r="DG25" s="173"/>
      <c r="DH25" s="173"/>
      <c r="DI25" s="217">
        <f t="shared" si="4"/>
        <v>505085.2992</v>
      </c>
      <c r="DJ25" s="218">
        <f t="shared" si="4"/>
        <v>144996.53102</v>
      </c>
      <c r="DK25" s="183">
        <f t="shared" si="5"/>
        <v>650081.83022</v>
      </c>
      <c r="DM25" s="195"/>
      <c r="DO25" s="195"/>
    </row>
    <row r="26" spans="1:119" ht="19.5" thickBot="1">
      <c r="A26" s="6">
        <v>20</v>
      </c>
      <c r="B26" s="6" t="s">
        <v>26</v>
      </c>
      <c r="C26" s="203">
        <f>366798.78*1.24</f>
        <v>454830.48720000003</v>
      </c>
      <c r="D26" s="7">
        <f>67024.53*1.24</f>
        <v>83110.4172</v>
      </c>
      <c r="E26" s="7">
        <f>80994.08*1.252</f>
        <v>101404.58816</v>
      </c>
      <c r="F26" s="7">
        <f>14705.01*1.252</f>
        <v>18410.67252</v>
      </c>
      <c r="G26" s="8"/>
      <c r="H26" s="8">
        <v>21.84</v>
      </c>
      <c r="I26" s="8"/>
      <c r="J26" s="8"/>
      <c r="K26" s="8"/>
      <c r="L26" s="225">
        <f>19237+1415</f>
        <v>20652</v>
      </c>
      <c r="M26" s="8"/>
      <c r="N26" s="8"/>
      <c r="O26" s="8"/>
      <c r="P26" s="8"/>
      <c r="Q26" s="8"/>
      <c r="R26" s="8"/>
      <c r="S26" s="8"/>
      <c r="T26" s="219">
        <v>874</v>
      </c>
      <c r="U26" s="8"/>
      <c r="V26" s="8"/>
      <c r="W26" s="8"/>
      <c r="X26" s="8"/>
      <c r="Y26" s="8"/>
      <c r="Z26" s="9"/>
      <c r="AA26" s="153">
        <f t="shared" si="6"/>
        <v>0</v>
      </c>
      <c r="AB26" s="153">
        <f t="shared" si="6"/>
        <v>21547.84</v>
      </c>
      <c r="AC26" s="153">
        <f t="shared" si="1"/>
        <v>21547.84</v>
      </c>
      <c r="AD26" s="9"/>
      <c r="AE26" s="213"/>
      <c r="AF26" s="50"/>
      <c r="AG26" s="10">
        <v>235.98</v>
      </c>
      <c r="AH26" s="32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28"/>
      <c r="CK26" s="181"/>
      <c r="CL26" s="46">
        <f t="shared" si="2"/>
        <v>0</v>
      </c>
      <c r="CM26" s="46">
        <f t="shared" si="2"/>
        <v>235.98</v>
      </c>
      <c r="CN26" s="46">
        <f t="shared" si="3"/>
        <v>235.98</v>
      </c>
      <c r="CO26" s="48"/>
      <c r="CP26" s="140"/>
      <c r="CQ26" s="181"/>
      <c r="CR26" s="216">
        <v>-1532.49</v>
      </c>
      <c r="CS26" s="50"/>
      <c r="CT26" s="28"/>
      <c r="CU26" s="28"/>
      <c r="CV26" s="8">
        <f>642.7*0.396</f>
        <v>254.50920000000002</v>
      </c>
      <c r="CW26" s="28"/>
      <c r="CX26" s="127"/>
      <c r="CY26" s="39"/>
      <c r="CZ26" s="39"/>
      <c r="DA26" s="39"/>
      <c r="DB26" s="39"/>
      <c r="DC26" s="39"/>
      <c r="DD26" s="216"/>
      <c r="DE26" s="181"/>
      <c r="DF26" s="181"/>
      <c r="DG26" s="173"/>
      <c r="DH26" s="173"/>
      <c r="DI26" s="217">
        <f t="shared" si="4"/>
        <v>556235.07536</v>
      </c>
      <c r="DJ26" s="218">
        <f t="shared" si="4"/>
        <v>122026.92891999998</v>
      </c>
      <c r="DK26" s="183">
        <f t="shared" si="5"/>
        <v>678262.00428</v>
      </c>
      <c r="DM26" s="195"/>
      <c r="DO26" s="195"/>
    </row>
    <row r="27" spans="1:119" ht="19.5" thickBot="1">
      <c r="A27" s="6">
        <v>21</v>
      </c>
      <c r="B27" s="6" t="s">
        <v>27</v>
      </c>
      <c r="C27" s="203">
        <f>563930.36*1.24</f>
        <v>699273.6464</v>
      </c>
      <c r="D27" s="7">
        <f>74651.82*1.24</f>
        <v>92568.2568</v>
      </c>
      <c r="E27" s="7">
        <f>129295.83*1.252</f>
        <v>161878.37916</v>
      </c>
      <c r="F27" s="7">
        <f>15737.68*1.252</f>
        <v>19703.57536</v>
      </c>
      <c r="G27" s="8"/>
      <c r="H27" s="8">
        <v>43.68</v>
      </c>
      <c r="I27" s="8"/>
      <c r="J27" s="8"/>
      <c r="K27" s="8"/>
      <c r="L27" s="225">
        <f>24057+1415</f>
        <v>25472</v>
      </c>
      <c r="M27" s="8"/>
      <c r="N27" s="8"/>
      <c r="O27" s="8"/>
      <c r="P27" s="8"/>
      <c r="Q27" s="8"/>
      <c r="R27" s="8"/>
      <c r="S27" s="8"/>
      <c r="T27" s="219">
        <v>874</v>
      </c>
      <c r="U27" s="8"/>
      <c r="V27" s="8"/>
      <c r="W27" s="8"/>
      <c r="X27" s="8"/>
      <c r="Y27" s="8"/>
      <c r="Z27" s="9"/>
      <c r="AA27" s="153">
        <f t="shared" si="6"/>
        <v>0</v>
      </c>
      <c r="AB27" s="153">
        <f t="shared" si="6"/>
        <v>26389.68</v>
      </c>
      <c r="AC27" s="153">
        <f t="shared" si="1"/>
        <v>26389.68</v>
      </c>
      <c r="AD27" s="9"/>
      <c r="AE27" s="213"/>
      <c r="AF27" s="50"/>
      <c r="AG27" s="10">
        <v>242.96</v>
      </c>
      <c r="AH27" s="32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222"/>
      <c r="CD27" s="10"/>
      <c r="CE27" s="10"/>
      <c r="CF27" s="10"/>
      <c r="CG27" s="10"/>
      <c r="CH27" s="10"/>
      <c r="CI27" s="10"/>
      <c r="CJ27" s="28"/>
      <c r="CK27" s="181"/>
      <c r="CL27" s="46">
        <f t="shared" si="2"/>
        <v>0</v>
      </c>
      <c r="CM27" s="46">
        <f t="shared" si="2"/>
        <v>242.96</v>
      </c>
      <c r="CN27" s="46">
        <f t="shared" si="3"/>
        <v>242.96</v>
      </c>
      <c r="CO27" s="48"/>
      <c r="CP27" s="140"/>
      <c r="CQ27" s="181"/>
      <c r="CR27" s="216"/>
      <c r="CS27" s="50"/>
      <c r="CT27" s="8">
        <v>125.24</v>
      </c>
      <c r="CU27" s="28"/>
      <c r="CV27" s="8">
        <f>568.02*0.396</f>
        <v>224.93592</v>
      </c>
      <c r="CW27" s="28"/>
      <c r="CX27" s="127"/>
      <c r="CY27" s="39"/>
      <c r="CZ27" s="215"/>
      <c r="DA27" s="39"/>
      <c r="DB27" s="39"/>
      <c r="DC27" s="39"/>
      <c r="DD27" s="36"/>
      <c r="DE27" s="181"/>
      <c r="DF27" s="181"/>
      <c r="DG27" s="173"/>
      <c r="DH27" s="173"/>
      <c r="DI27" s="217">
        <f t="shared" si="4"/>
        <v>861152.02556</v>
      </c>
      <c r="DJ27" s="218">
        <f t="shared" si="4"/>
        <v>139254.64807999998</v>
      </c>
      <c r="DK27" s="183">
        <f t="shared" si="5"/>
        <v>1000406.6736399999</v>
      </c>
      <c r="DM27" s="195"/>
      <c r="DO27" s="195"/>
    </row>
    <row r="28" spans="1:119" ht="19.5" thickBot="1">
      <c r="A28" s="6">
        <v>22</v>
      </c>
      <c r="B28" s="6" t="s">
        <v>28</v>
      </c>
      <c r="C28" s="203">
        <f>896479.47*1.24</f>
        <v>1111634.5428</v>
      </c>
      <c r="D28" s="7">
        <f>97986.79*1.24</f>
        <v>121503.61959999999</v>
      </c>
      <c r="E28" s="7">
        <f>185596.09*1.252</f>
        <v>232366.30468</v>
      </c>
      <c r="F28" s="7">
        <f>22586.35*1.252</f>
        <v>28278.1102</v>
      </c>
      <c r="G28" s="8"/>
      <c r="H28" s="8">
        <v>84.24</v>
      </c>
      <c r="I28" s="8"/>
      <c r="J28" s="8"/>
      <c r="K28" s="8"/>
      <c r="L28" s="225">
        <v>1415</v>
      </c>
      <c r="M28" s="8"/>
      <c r="N28" s="8"/>
      <c r="O28" s="8"/>
      <c r="P28" s="8"/>
      <c r="Q28" s="8"/>
      <c r="R28" s="8"/>
      <c r="S28" s="8"/>
      <c r="T28" s="219">
        <v>874</v>
      </c>
      <c r="U28" s="8"/>
      <c r="V28" s="8"/>
      <c r="W28" s="8"/>
      <c r="X28" s="8"/>
      <c r="Y28" s="8"/>
      <c r="Z28" s="8"/>
      <c r="AA28" s="153">
        <f t="shared" si="6"/>
        <v>0</v>
      </c>
      <c r="AB28" s="153">
        <f t="shared" si="6"/>
        <v>2373.24</v>
      </c>
      <c r="AC28" s="153">
        <f t="shared" si="1"/>
        <v>2373.24</v>
      </c>
      <c r="AD28" s="9"/>
      <c r="AE28" s="213"/>
      <c r="AF28" s="50"/>
      <c r="AG28" s="10">
        <v>724.87</v>
      </c>
      <c r="AH28" s="32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28"/>
      <c r="CK28" s="181"/>
      <c r="CL28" s="46">
        <f t="shared" si="2"/>
        <v>0</v>
      </c>
      <c r="CM28" s="46">
        <f t="shared" si="2"/>
        <v>724.87</v>
      </c>
      <c r="CN28" s="46">
        <f t="shared" si="3"/>
        <v>724.87</v>
      </c>
      <c r="CO28" s="48"/>
      <c r="CP28" s="140"/>
      <c r="CQ28" s="181"/>
      <c r="CR28" s="216">
        <v>-17354.43</v>
      </c>
      <c r="CS28" s="50"/>
      <c r="CT28" s="28"/>
      <c r="CU28" s="28"/>
      <c r="CV28" s="8">
        <f>3239.39*0.396</f>
        <v>1282.79844</v>
      </c>
      <c r="CW28" s="28"/>
      <c r="CX28" s="127"/>
      <c r="CY28" s="39"/>
      <c r="CZ28" s="39"/>
      <c r="DA28" s="39"/>
      <c r="DB28" s="39"/>
      <c r="DC28" s="39"/>
      <c r="DD28" s="36"/>
      <c r="DE28" s="181"/>
      <c r="DF28" s="181"/>
      <c r="DG28" s="173"/>
      <c r="DH28" s="173"/>
      <c r="DI28" s="217">
        <f t="shared" si="4"/>
        <v>1344000.84748</v>
      </c>
      <c r="DJ28" s="218">
        <f t="shared" si="4"/>
        <v>136808.20824</v>
      </c>
      <c r="DK28" s="183">
        <f t="shared" si="5"/>
        <v>1480809.05572</v>
      </c>
      <c r="DM28" s="195"/>
      <c r="DO28" s="195"/>
    </row>
    <row r="29" spans="1:119" ht="19.5" thickBot="1">
      <c r="A29" s="6">
        <v>23</v>
      </c>
      <c r="B29" s="6" t="s">
        <v>3</v>
      </c>
      <c r="C29" s="203">
        <f>337749.84*1.24</f>
        <v>418809.8016</v>
      </c>
      <c r="D29" s="7">
        <f>40380.02*1.24</f>
        <v>50071.224799999996</v>
      </c>
      <c r="E29" s="7">
        <f>74304.96*1.252</f>
        <v>93029.80992000001</v>
      </c>
      <c r="F29" s="7">
        <f>9403.13*1.252</f>
        <v>11772.71876</v>
      </c>
      <c r="G29" s="8"/>
      <c r="H29" s="8">
        <v>15.6</v>
      </c>
      <c r="I29" s="8"/>
      <c r="J29" s="8"/>
      <c r="K29" s="8"/>
      <c r="L29" s="225">
        <f>7187+1415</f>
        <v>8602</v>
      </c>
      <c r="M29" s="8"/>
      <c r="N29" s="8"/>
      <c r="O29" s="8"/>
      <c r="P29" s="8"/>
      <c r="Q29" s="8"/>
      <c r="R29" s="8"/>
      <c r="S29" s="8"/>
      <c r="T29" s="219">
        <v>874</v>
      </c>
      <c r="U29" s="8"/>
      <c r="V29" s="8"/>
      <c r="W29" s="8"/>
      <c r="X29" s="8"/>
      <c r="Y29" s="8"/>
      <c r="Z29" s="9"/>
      <c r="AA29" s="153">
        <f t="shared" si="6"/>
        <v>0</v>
      </c>
      <c r="AB29" s="153">
        <f t="shared" si="6"/>
        <v>9491.6</v>
      </c>
      <c r="AC29" s="153">
        <f t="shared" si="1"/>
        <v>9491.6</v>
      </c>
      <c r="AD29" s="9"/>
      <c r="AE29" s="213"/>
      <c r="AF29" s="50"/>
      <c r="AG29" s="10">
        <v>235.98</v>
      </c>
      <c r="AH29" s="32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28"/>
      <c r="CK29" s="181"/>
      <c r="CL29" s="46">
        <f t="shared" si="2"/>
        <v>0</v>
      </c>
      <c r="CM29" s="46">
        <f t="shared" si="2"/>
        <v>235.98</v>
      </c>
      <c r="CN29" s="46">
        <f t="shared" si="3"/>
        <v>235.98</v>
      </c>
      <c r="CO29" s="48"/>
      <c r="CP29" s="140"/>
      <c r="CQ29" s="181"/>
      <c r="CR29" s="216"/>
      <c r="CS29" s="50"/>
      <c r="CT29" s="28"/>
      <c r="CU29" s="28"/>
      <c r="CV29" s="8">
        <f>687.96*0.396</f>
        <v>272.43216</v>
      </c>
      <c r="CW29" s="28"/>
      <c r="CX29" s="127"/>
      <c r="CY29" s="39"/>
      <c r="CZ29" s="39"/>
      <c r="DA29" s="39"/>
      <c r="DB29" s="39"/>
      <c r="DC29" s="39"/>
      <c r="DD29" s="36"/>
      <c r="DE29" s="181"/>
      <c r="DF29" s="181"/>
      <c r="DG29" s="173"/>
      <c r="DH29" s="173"/>
      <c r="DI29" s="217">
        <f t="shared" si="4"/>
        <v>511839.61152000003</v>
      </c>
      <c r="DJ29" s="218">
        <f t="shared" si="4"/>
        <v>71843.95572</v>
      </c>
      <c r="DK29" s="183">
        <f t="shared" si="5"/>
        <v>583683.56724</v>
      </c>
      <c r="DM29" s="195"/>
      <c r="DO29" s="195"/>
    </row>
    <row r="30" spans="1:119" ht="19.5" thickBot="1">
      <c r="A30" s="6">
        <v>24</v>
      </c>
      <c r="B30" s="6" t="s">
        <v>10</v>
      </c>
      <c r="C30" s="203">
        <f>1161390.73*1.24</f>
        <v>1440124.5052</v>
      </c>
      <c r="D30" s="7">
        <f>145598.86*1.24</f>
        <v>180542.58639999997</v>
      </c>
      <c r="E30" s="7">
        <f>235953.63*1.252</f>
        <v>295413.94476</v>
      </c>
      <c r="F30" s="7">
        <f>32799.9*1.252</f>
        <v>41065.4748</v>
      </c>
      <c r="G30" s="8"/>
      <c r="H30" s="8">
        <v>159.12</v>
      </c>
      <c r="I30" s="8"/>
      <c r="J30" s="8"/>
      <c r="K30" s="8"/>
      <c r="L30" s="225">
        <v>1415</v>
      </c>
      <c r="M30" s="8"/>
      <c r="N30" s="8"/>
      <c r="O30" s="8"/>
      <c r="P30" s="8"/>
      <c r="Q30" s="8"/>
      <c r="R30" s="8"/>
      <c r="S30" s="8"/>
      <c r="T30" s="219">
        <v>874</v>
      </c>
      <c r="U30" s="8"/>
      <c r="V30" s="8"/>
      <c r="W30" s="8"/>
      <c r="X30" s="8"/>
      <c r="Y30" s="8"/>
      <c r="Z30" s="9"/>
      <c r="AA30" s="153">
        <f t="shared" si="6"/>
        <v>0</v>
      </c>
      <c r="AB30" s="153">
        <f t="shared" si="6"/>
        <v>2448.12</v>
      </c>
      <c r="AC30" s="153">
        <f t="shared" si="1"/>
        <v>2448.12</v>
      </c>
      <c r="AD30" s="9"/>
      <c r="AE30" s="213">
        <v>-9800.3</v>
      </c>
      <c r="AF30" s="50"/>
      <c r="AG30" s="10">
        <v>1303.62</v>
      </c>
      <c r="AH30" s="32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7"/>
      <c r="CF30" s="10"/>
      <c r="CG30" s="10"/>
      <c r="CH30" s="10"/>
      <c r="CI30" s="10"/>
      <c r="CJ30" s="28"/>
      <c r="CK30" s="181"/>
      <c r="CL30" s="46">
        <f t="shared" si="2"/>
        <v>0</v>
      </c>
      <c r="CM30" s="46">
        <f t="shared" si="2"/>
        <v>1303.62</v>
      </c>
      <c r="CN30" s="46">
        <f t="shared" si="3"/>
        <v>1303.62</v>
      </c>
      <c r="CO30" s="48"/>
      <c r="CP30" s="140"/>
      <c r="CQ30" s="181"/>
      <c r="CR30" s="216"/>
      <c r="CS30" s="50"/>
      <c r="CT30" s="28">
        <v>876.74</v>
      </c>
      <c r="CU30" s="28"/>
      <c r="CV30" s="8">
        <f>2229.07*0.396</f>
        <v>882.7117200000001</v>
      </c>
      <c r="CW30" s="28"/>
      <c r="CX30" s="127"/>
      <c r="CY30" s="39"/>
      <c r="CZ30" s="215">
        <f>274.13*0.298</f>
        <v>81.69073999999999</v>
      </c>
      <c r="DA30" s="39"/>
      <c r="DB30" s="39"/>
      <c r="DC30" s="39"/>
      <c r="DD30" s="36"/>
      <c r="DE30" s="181"/>
      <c r="DF30" s="181"/>
      <c r="DG30" s="173"/>
      <c r="DH30" s="173"/>
      <c r="DI30" s="217">
        <f t="shared" si="4"/>
        <v>1735538.4499599999</v>
      </c>
      <c r="DJ30" s="218">
        <f t="shared" si="4"/>
        <v>217400.64365999994</v>
      </c>
      <c r="DK30" s="183">
        <f t="shared" si="5"/>
        <v>1952939.09362</v>
      </c>
      <c r="DM30" s="195"/>
      <c r="DO30" s="195"/>
    </row>
    <row r="31" spans="1:119" ht="19.5" thickBot="1">
      <c r="A31" s="6">
        <v>25</v>
      </c>
      <c r="B31" s="6" t="s">
        <v>29</v>
      </c>
      <c r="C31" s="203">
        <f>529270.53*1.24</f>
        <v>656295.4572000001</v>
      </c>
      <c r="D31" s="7">
        <f>80032.15*1.24</f>
        <v>99239.866</v>
      </c>
      <c r="E31" s="7">
        <f>116439.52*1.252</f>
        <v>145782.27904</v>
      </c>
      <c r="F31" s="7">
        <f>17009.09*1.252</f>
        <v>21295.380680000002</v>
      </c>
      <c r="G31" s="8"/>
      <c r="H31" s="8">
        <v>62.4</v>
      </c>
      <c r="I31" s="8"/>
      <c r="J31" s="8"/>
      <c r="K31" s="8"/>
      <c r="L31" s="225">
        <v>1415</v>
      </c>
      <c r="M31" s="8"/>
      <c r="N31" s="8"/>
      <c r="O31" s="8"/>
      <c r="P31" s="8"/>
      <c r="Q31" s="8"/>
      <c r="R31" s="8"/>
      <c r="S31" s="8"/>
      <c r="T31" s="219">
        <v>874</v>
      </c>
      <c r="U31" s="8"/>
      <c r="V31" s="8"/>
      <c r="W31" s="8"/>
      <c r="X31" s="8"/>
      <c r="Y31" s="8"/>
      <c r="Z31" s="8"/>
      <c r="AA31" s="153">
        <f t="shared" si="6"/>
        <v>0</v>
      </c>
      <c r="AB31" s="153">
        <f t="shared" si="6"/>
        <v>2351.4</v>
      </c>
      <c r="AC31" s="153">
        <f t="shared" si="1"/>
        <v>2351.4</v>
      </c>
      <c r="AD31" s="9"/>
      <c r="AE31" s="213"/>
      <c r="AF31" s="50"/>
      <c r="AG31" s="10">
        <v>337.97</v>
      </c>
      <c r="AH31" s="32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28"/>
      <c r="CK31" s="181"/>
      <c r="CL31" s="46">
        <f t="shared" si="2"/>
        <v>0</v>
      </c>
      <c r="CM31" s="46">
        <f t="shared" si="2"/>
        <v>337.97</v>
      </c>
      <c r="CN31" s="46">
        <f t="shared" si="3"/>
        <v>337.97</v>
      </c>
      <c r="CO31" s="48"/>
      <c r="CP31" s="140"/>
      <c r="CQ31" s="181"/>
      <c r="CR31" s="216"/>
      <c r="CS31" s="140"/>
      <c r="CT31" s="28"/>
      <c r="CU31" s="28"/>
      <c r="CV31" s="8">
        <f>719.64*0.396</f>
        <v>284.97744</v>
      </c>
      <c r="CW31" s="28"/>
      <c r="CX31" s="127"/>
      <c r="CY31" s="39"/>
      <c r="CZ31" s="215">
        <f>438.6*0.298+6.41</f>
        <v>137.1128</v>
      </c>
      <c r="DA31" s="39"/>
      <c r="DB31" s="39"/>
      <c r="DC31" s="39"/>
      <c r="DD31" s="36"/>
      <c r="DE31" s="181"/>
      <c r="DF31" s="181"/>
      <c r="DG31" s="173"/>
      <c r="DH31" s="173"/>
      <c r="DI31" s="217">
        <f t="shared" si="4"/>
        <v>802077.73624</v>
      </c>
      <c r="DJ31" s="218">
        <f t="shared" si="4"/>
        <v>123646.70692</v>
      </c>
      <c r="DK31" s="183">
        <f t="shared" si="5"/>
        <v>925724.44316</v>
      </c>
      <c r="DM31" s="195"/>
      <c r="DO31" s="195"/>
    </row>
    <row r="32" spans="1:119" ht="38.25" thickBot="1">
      <c r="A32" s="6">
        <v>26</v>
      </c>
      <c r="B32" s="6" t="s">
        <v>2</v>
      </c>
      <c r="C32" s="203">
        <f>1596407.71*1.24</f>
        <v>1979545.5603999998</v>
      </c>
      <c r="D32" s="7">
        <f>154094.1*1.24-1156.5</f>
        <v>189920.184</v>
      </c>
      <c r="E32" s="7">
        <f>326719.1*1.252</f>
        <v>409052.3132</v>
      </c>
      <c r="F32" s="7">
        <f>32264.4*1.252+2806.33</f>
        <v>43201.3588</v>
      </c>
      <c r="G32" s="8"/>
      <c r="H32" s="8">
        <v>199.68</v>
      </c>
      <c r="I32" s="8"/>
      <c r="J32" s="8"/>
      <c r="K32" s="8"/>
      <c r="L32" s="225">
        <v>1415</v>
      </c>
      <c r="M32" s="8"/>
      <c r="N32" s="8"/>
      <c r="O32" s="8"/>
      <c r="P32" s="8"/>
      <c r="Q32" s="8"/>
      <c r="R32" s="8"/>
      <c r="S32" s="8"/>
      <c r="T32" s="219">
        <v>874</v>
      </c>
      <c r="U32" s="8"/>
      <c r="V32" s="8"/>
      <c r="W32" s="8"/>
      <c r="X32" s="8"/>
      <c r="Y32" s="8"/>
      <c r="Z32" s="9"/>
      <c r="AA32" s="153">
        <f t="shared" si="6"/>
        <v>0</v>
      </c>
      <c r="AB32" s="153">
        <f t="shared" si="6"/>
        <v>2488.6800000000003</v>
      </c>
      <c r="AC32" s="153">
        <f t="shared" si="1"/>
        <v>2488.6800000000003</v>
      </c>
      <c r="AD32" s="9"/>
      <c r="AE32" s="213">
        <v>-4860</v>
      </c>
      <c r="AF32" s="50"/>
      <c r="AG32" s="7">
        <v>589.03</v>
      </c>
      <c r="AH32" s="32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28"/>
      <c r="CK32" s="181"/>
      <c r="CL32" s="46">
        <f t="shared" si="2"/>
        <v>0</v>
      </c>
      <c r="CM32" s="46">
        <f t="shared" si="2"/>
        <v>589.03</v>
      </c>
      <c r="CN32" s="46">
        <f t="shared" si="3"/>
        <v>589.03</v>
      </c>
      <c r="CO32" s="48"/>
      <c r="CP32" s="140"/>
      <c r="CQ32" s="181"/>
      <c r="CR32" s="216"/>
      <c r="CS32" s="50"/>
      <c r="CT32" s="28"/>
      <c r="CU32" s="28"/>
      <c r="CV32" s="8">
        <f>1099.83*0.396+32.42</f>
        <v>467.95268</v>
      </c>
      <c r="CW32" s="28"/>
      <c r="CX32" s="127"/>
      <c r="CY32" s="39"/>
      <c r="CZ32" s="215"/>
      <c r="DA32" s="39"/>
      <c r="DB32" s="39"/>
      <c r="DC32" s="39"/>
      <c r="DD32" s="36"/>
      <c r="DE32" s="181"/>
      <c r="DF32" s="181"/>
      <c r="DG32" s="173"/>
      <c r="DH32" s="173"/>
      <c r="DI32" s="217">
        <f t="shared" si="4"/>
        <v>2388597.8735999996</v>
      </c>
      <c r="DJ32" s="218">
        <f t="shared" si="4"/>
        <v>231807.20547999998</v>
      </c>
      <c r="DK32" s="183">
        <f t="shared" si="5"/>
        <v>2620405.0790799996</v>
      </c>
      <c r="DM32" s="195"/>
      <c r="DO32" s="195"/>
    </row>
    <row r="33" spans="1:119" ht="19.5" thickBot="1">
      <c r="A33" s="6">
        <v>27</v>
      </c>
      <c r="B33" s="6" t="s">
        <v>30</v>
      </c>
      <c r="C33" s="203">
        <f>410718.44*1.24</f>
        <v>509290.8656</v>
      </c>
      <c r="D33" s="7">
        <f>61707.87*1.24</f>
        <v>76517.7588</v>
      </c>
      <c r="E33" s="7">
        <f>79473.02*1.252</f>
        <v>99500.22104</v>
      </c>
      <c r="F33" s="7">
        <f>12198.79*1.252</f>
        <v>15272.885080000002</v>
      </c>
      <c r="G33" s="8"/>
      <c r="H33" s="8">
        <v>68.64</v>
      </c>
      <c r="I33" s="8"/>
      <c r="J33" s="8"/>
      <c r="K33" s="8"/>
      <c r="L33" s="225">
        <v>1415</v>
      </c>
      <c r="M33" s="8"/>
      <c r="N33" s="8"/>
      <c r="O33" s="8"/>
      <c r="P33" s="8"/>
      <c r="Q33" s="8"/>
      <c r="R33" s="8"/>
      <c r="S33" s="8"/>
      <c r="T33" s="219">
        <v>874</v>
      </c>
      <c r="U33" s="8"/>
      <c r="V33" s="8"/>
      <c r="W33" s="8"/>
      <c r="X33" s="8"/>
      <c r="Y33" s="8"/>
      <c r="Z33" s="9"/>
      <c r="AA33" s="153">
        <f t="shared" si="6"/>
        <v>0</v>
      </c>
      <c r="AB33" s="153">
        <f t="shared" si="6"/>
        <v>2357.6400000000003</v>
      </c>
      <c r="AC33" s="153">
        <f t="shared" si="1"/>
        <v>2357.6400000000003</v>
      </c>
      <c r="AD33" s="9"/>
      <c r="AE33" s="213">
        <v>-5548.2</v>
      </c>
      <c r="AF33" s="50"/>
      <c r="AG33" s="10">
        <v>637.03</v>
      </c>
      <c r="AH33" s="32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28"/>
      <c r="CK33" s="181"/>
      <c r="CL33" s="46">
        <f t="shared" si="2"/>
        <v>0</v>
      </c>
      <c r="CM33" s="46">
        <f t="shared" si="2"/>
        <v>637.03</v>
      </c>
      <c r="CN33" s="46">
        <f t="shared" si="3"/>
        <v>637.03</v>
      </c>
      <c r="CO33" s="48"/>
      <c r="CP33" s="140"/>
      <c r="CQ33" s="181"/>
      <c r="CR33" s="216"/>
      <c r="CS33" s="140"/>
      <c r="CT33" s="28">
        <v>252.48</v>
      </c>
      <c r="CU33" s="28"/>
      <c r="CV33" s="8">
        <f>1672.37*0.396</f>
        <v>662.25852</v>
      </c>
      <c r="CW33" s="28"/>
      <c r="CX33" s="127"/>
      <c r="CY33" s="39"/>
      <c r="CZ33" s="215"/>
      <c r="DA33" s="39"/>
      <c r="DB33" s="39"/>
      <c r="DC33" s="39"/>
      <c r="DD33" s="36"/>
      <c r="DE33" s="181"/>
      <c r="DF33" s="181"/>
      <c r="DG33" s="173"/>
      <c r="DH33" s="173"/>
      <c r="DI33" s="217">
        <f t="shared" si="4"/>
        <v>608791.08664</v>
      </c>
      <c r="DJ33" s="218">
        <f t="shared" si="4"/>
        <v>90151.8524</v>
      </c>
      <c r="DK33" s="183">
        <f t="shared" si="5"/>
        <v>698942.93904</v>
      </c>
      <c r="DM33" s="195"/>
      <c r="DO33" s="195"/>
    </row>
    <row r="34" spans="1:119" ht="19.5" thickBot="1">
      <c r="A34" s="6">
        <v>28</v>
      </c>
      <c r="B34" s="6" t="s">
        <v>31</v>
      </c>
      <c r="C34" s="203">
        <f>427985.44*1.24</f>
        <v>530701.9456</v>
      </c>
      <c r="D34" s="7">
        <f>36393.45*1.24</f>
        <v>45127.878</v>
      </c>
      <c r="E34" s="7">
        <f>94156.8*1.252</f>
        <v>117884.31360000001</v>
      </c>
      <c r="F34" s="7">
        <f>8526.09*1.252</f>
        <v>10674.66468</v>
      </c>
      <c r="G34" s="8"/>
      <c r="H34" s="8">
        <v>21.84</v>
      </c>
      <c r="I34" s="8"/>
      <c r="J34" s="8"/>
      <c r="K34" s="8"/>
      <c r="L34" s="225">
        <f>12007+1415</f>
        <v>13422</v>
      </c>
      <c r="M34" s="8"/>
      <c r="N34" s="8"/>
      <c r="O34" s="8"/>
      <c r="P34" s="8"/>
      <c r="Q34" s="8"/>
      <c r="R34" s="8"/>
      <c r="S34" s="8"/>
      <c r="T34" s="219">
        <v>874</v>
      </c>
      <c r="U34" s="8"/>
      <c r="V34" s="8"/>
      <c r="W34" s="8"/>
      <c r="X34" s="8"/>
      <c r="Y34" s="8"/>
      <c r="Z34" s="9"/>
      <c r="AA34" s="153">
        <f t="shared" si="6"/>
        <v>0</v>
      </c>
      <c r="AB34" s="153">
        <f t="shared" si="6"/>
        <v>14317.84</v>
      </c>
      <c r="AC34" s="153">
        <f t="shared" si="1"/>
        <v>14317.84</v>
      </c>
      <c r="AD34" s="9"/>
      <c r="AE34" s="127"/>
      <c r="AF34" s="50"/>
      <c r="AG34" s="7">
        <v>235.98</v>
      </c>
      <c r="AH34" s="32"/>
      <c r="AI34" s="10"/>
      <c r="AJ34" s="10"/>
      <c r="AK34" s="10"/>
      <c r="AL34" s="10"/>
      <c r="AM34" s="10"/>
      <c r="AN34" s="10"/>
      <c r="AO34" s="7">
        <v>1296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222"/>
      <c r="CD34" s="10"/>
      <c r="CE34" s="10"/>
      <c r="CF34" s="10"/>
      <c r="CG34" s="10"/>
      <c r="CH34" s="10"/>
      <c r="CI34" s="10"/>
      <c r="CJ34" s="28"/>
      <c r="CK34" s="181"/>
      <c r="CL34" s="46">
        <f t="shared" si="2"/>
        <v>0</v>
      </c>
      <c r="CM34" s="46">
        <f t="shared" si="2"/>
        <v>1531.98</v>
      </c>
      <c r="CN34" s="46">
        <f t="shared" si="3"/>
        <v>1531.98</v>
      </c>
      <c r="CO34" s="48"/>
      <c r="CP34" s="50"/>
      <c r="CQ34" s="181"/>
      <c r="CR34" s="216"/>
      <c r="CS34" s="140"/>
      <c r="CT34" s="8"/>
      <c r="CU34" s="28"/>
      <c r="CV34" s="8">
        <f>181.04*0.396</f>
        <v>71.69184</v>
      </c>
      <c r="CW34" s="28"/>
      <c r="CX34" s="127"/>
      <c r="CY34" s="39"/>
      <c r="CZ34" s="39"/>
      <c r="DA34" s="39"/>
      <c r="DB34" s="39"/>
      <c r="DC34" s="39"/>
      <c r="DD34" s="216"/>
      <c r="DE34" s="181"/>
      <c r="DF34" s="181"/>
      <c r="DG34" s="173"/>
      <c r="DH34" s="173"/>
      <c r="DI34" s="217">
        <f t="shared" si="4"/>
        <v>648586.2592</v>
      </c>
      <c r="DJ34" s="218">
        <f t="shared" si="4"/>
        <v>71724.05451999999</v>
      </c>
      <c r="DK34" s="183">
        <f t="shared" si="5"/>
        <v>720310.31372</v>
      </c>
      <c r="DM34" s="195"/>
      <c r="DO34" s="195"/>
    </row>
    <row r="35" spans="1:119" ht="19.5" thickBot="1">
      <c r="A35" s="6">
        <v>29</v>
      </c>
      <c r="B35" s="6" t="s">
        <v>76</v>
      </c>
      <c r="C35" s="203">
        <f>79255.52*1.24</f>
        <v>98276.8448</v>
      </c>
      <c r="D35" s="7">
        <f>129335.46*1.24</f>
        <v>160375.97040000002</v>
      </c>
      <c r="E35" s="7">
        <f>17517.69*1.252</f>
        <v>21932.147879999997</v>
      </c>
      <c r="F35" s="7">
        <f>29198.41*1.252</f>
        <v>36556.40932</v>
      </c>
      <c r="G35" s="8"/>
      <c r="H35" s="8"/>
      <c r="I35" s="8"/>
      <c r="J35" s="8"/>
      <c r="K35" s="8"/>
      <c r="L35" s="225">
        <v>1415</v>
      </c>
      <c r="M35" s="8"/>
      <c r="N35" s="8"/>
      <c r="O35" s="8"/>
      <c r="P35" s="8"/>
      <c r="Q35" s="8"/>
      <c r="R35" s="8"/>
      <c r="S35" s="8"/>
      <c r="T35" s="219">
        <v>874</v>
      </c>
      <c r="U35" s="8"/>
      <c r="V35" s="8"/>
      <c r="W35" s="8"/>
      <c r="X35" s="8"/>
      <c r="Y35" s="8"/>
      <c r="Z35" s="9"/>
      <c r="AA35" s="153">
        <f t="shared" si="6"/>
        <v>0</v>
      </c>
      <c r="AB35" s="153">
        <f t="shared" si="6"/>
        <v>2289</v>
      </c>
      <c r="AC35" s="153">
        <f t="shared" si="1"/>
        <v>2289</v>
      </c>
      <c r="AD35" s="9"/>
      <c r="AE35" s="213"/>
      <c r="AF35" s="50"/>
      <c r="AG35" s="10">
        <v>337.97</v>
      </c>
      <c r="AH35" s="32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222"/>
      <c r="CD35" s="10"/>
      <c r="CE35" s="10"/>
      <c r="CF35" s="10"/>
      <c r="CG35" s="10"/>
      <c r="CH35" s="10"/>
      <c r="CI35" s="10"/>
      <c r="CJ35" s="28"/>
      <c r="CK35" s="181"/>
      <c r="CL35" s="46">
        <f t="shared" si="2"/>
        <v>0</v>
      </c>
      <c r="CM35" s="46">
        <f t="shared" si="2"/>
        <v>337.97</v>
      </c>
      <c r="CN35" s="46">
        <f t="shared" si="3"/>
        <v>337.97</v>
      </c>
      <c r="CO35" s="48"/>
      <c r="CP35" s="50"/>
      <c r="CQ35" s="181"/>
      <c r="CR35" s="216"/>
      <c r="CS35" s="50"/>
      <c r="CT35" s="28"/>
      <c r="CU35" s="28"/>
      <c r="CV35" s="8">
        <f>581.6*0.396</f>
        <v>230.3136</v>
      </c>
      <c r="CW35" s="28"/>
      <c r="CX35" s="127"/>
      <c r="CY35" s="39"/>
      <c r="CZ35" s="39"/>
      <c r="DA35" s="39"/>
      <c r="DB35" s="39"/>
      <c r="DC35" s="39"/>
      <c r="DD35" s="216"/>
      <c r="DE35" s="181"/>
      <c r="DF35" s="181"/>
      <c r="DG35" s="173"/>
      <c r="DH35" s="173"/>
      <c r="DI35" s="217">
        <f t="shared" si="4"/>
        <v>120208.99268</v>
      </c>
      <c r="DJ35" s="218">
        <f t="shared" si="4"/>
        <v>199789.66332000002</v>
      </c>
      <c r="DK35" s="183">
        <f t="shared" si="5"/>
        <v>319998.656</v>
      </c>
      <c r="DM35" s="195"/>
      <c r="DO35" s="195"/>
    </row>
    <row r="36" spans="1:119" ht="19.5" thickBot="1">
      <c r="A36" s="6">
        <v>30</v>
      </c>
      <c r="B36" s="6" t="s">
        <v>74</v>
      </c>
      <c r="C36" s="203">
        <f>87325.9*1.24</f>
        <v>108284.116</v>
      </c>
      <c r="D36" s="7">
        <f>48241.02*1.24</f>
        <v>59818.864799999996</v>
      </c>
      <c r="E36" s="7">
        <f>19211.7*1.252</f>
        <v>24053.0484</v>
      </c>
      <c r="F36" s="7">
        <f>10950.9*1.252</f>
        <v>13710.5268</v>
      </c>
      <c r="G36" s="8"/>
      <c r="H36" s="8">
        <v>21.84</v>
      </c>
      <c r="I36" s="8"/>
      <c r="J36" s="8"/>
      <c r="K36" s="8"/>
      <c r="L36" s="225">
        <f>12007+1415</f>
        <v>13422</v>
      </c>
      <c r="M36" s="8"/>
      <c r="N36" s="8"/>
      <c r="O36" s="8"/>
      <c r="P36" s="8"/>
      <c r="Q36" s="8"/>
      <c r="R36" s="8"/>
      <c r="S36" s="8"/>
      <c r="T36" s="219">
        <v>874</v>
      </c>
      <c r="U36" s="8"/>
      <c r="V36" s="8"/>
      <c r="W36" s="8"/>
      <c r="X36" s="8"/>
      <c r="Y36" s="8"/>
      <c r="Z36" s="9"/>
      <c r="AA36" s="153">
        <f t="shared" si="6"/>
        <v>0</v>
      </c>
      <c r="AB36" s="153">
        <f t="shared" si="6"/>
        <v>14317.84</v>
      </c>
      <c r="AC36" s="153">
        <f t="shared" si="1"/>
        <v>14317.84</v>
      </c>
      <c r="AD36" s="9"/>
      <c r="AE36" s="213">
        <v>-960.5</v>
      </c>
      <c r="AF36" s="50"/>
      <c r="AG36" s="7">
        <v>266.9</v>
      </c>
      <c r="AH36" s="32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222"/>
      <c r="CD36" s="10"/>
      <c r="CE36" s="10"/>
      <c r="CF36" s="10"/>
      <c r="CG36" s="10"/>
      <c r="CH36" s="10"/>
      <c r="CI36" s="10"/>
      <c r="CJ36" s="28"/>
      <c r="CK36" s="181"/>
      <c r="CL36" s="46">
        <f t="shared" si="2"/>
        <v>0</v>
      </c>
      <c r="CM36" s="46">
        <f t="shared" si="2"/>
        <v>266.9</v>
      </c>
      <c r="CN36" s="46">
        <f t="shared" si="3"/>
        <v>266.9</v>
      </c>
      <c r="CO36" s="48"/>
      <c r="CP36" s="140">
        <v>318</v>
      </c>
      <c r="CQ36" s="181"/>
      <c r="CR36" s="216"/>
      <c r="CS36" s="50"/>
      <c r="CT36" s="8"/>
      <c r="CU36" s="28"/>
      <c r="CV36" s="8">
        <f>353.03*0.396</f>
        <v>139.79988</v>
      </c>
      <c r="CW36" s="28"/>
      <c r="CX36" s="127"/>
      <c r="CY36" s="39"/>
      <c r="CZ36" s="39"/>
      <c r="DA36" s="39"/>
      <c r="DB36" s="39"/>
      <c r="DC36" s="39"/>
      <c r="DD36" s="216"/>
      <c r="DE36" s="181"/>
      <c r="DF36" s="181"/>
      <c r="DG36" s="173"/>
      <c r="DH36" s="173"/>
      <c r="DI36" s="217">
        <f t="shared" si="4"/>
        <v>132337.1644</v>
      </c>
      <c r="DJ36" s="218">
        <f t="shared" si="4"/>
        <v>87611.43148</v>
      </c>
      <c r="DK36" s="183">
        <f t="shared" si="5"/>
        <v>219948.59588</v>
      </c>
      <c r="DM36" s="195"/>
      <c r="DO36" s="195"/>
    </row>
    <row r="37" spans="1:119" ht="19.5" thickBot="1">
      <c r="A37" s="6">
        <v>31</v>
      </c>
      <c r="B37" s="6" t="s">
        <v>32</v>
      </c>
      <c r="C37" s="203">
        <f>778125.99*1.24</f>
        <v>964876.2276</v>
      </c>
      <c r="D37" s="7">
        <f>107406.91*1.24</f>
        <v>133184.5684</v>
      </c>
      <c r="E37" s="7">
        <f>161917.28*1.252</f>
        <v>202720.43456</v>
      </c>
      <c r="F37" s="7">
        <f>25083.13*1.252</f>
        <v>31404.07876</v>
      </c>
      <c r="G37" s="8"/>
      <c r="H37" s="8">
        <v>90.48</v>
      </c>
      <c r="I37" s="8"/>
      <c r="J37" s="8"/>
      <c r="K37" s="8"/>
      <c r="L37" s="225">
        <v>1415</v>
      </c>
      <c r="M37" s="8"/>
      <c r="N37" s="8"/>
      <c r="O37" s="8"/>
      <c r="P37" s="8"/>
      <c r="Q37" s="8"/>
      <c r="R37" s="8"/>
      <c r="S37" s="8"/>
      <c r="T37" s="219">
        <v>874</v>
      </c>
      <c r="U37" s="8"/>
      <c r="V37" s="8"/>
      <c r="W37" s="8"/>
      <c r="X37" s="8"/>
      <c r="Y37" s="8"/>
      <c r="Z37" s="8"/>
      <c r="AA37" s="153">
        <f t="shared" si="6"/>
        <v>0</v>
      </c>
      <c r="AB37" s="153">
        <f t="shared" si="6"/>
        <v>2379.48</v>
      </c>
      <c r="AC37" s="153">
        <f t="shared" si="1"/>
        <v>2379.48</v>
      </c>
      <c r="AD37" s="9"/>
      <c r="AE37" s="213">
        <v>-13608.6</v>
      </c>
      <c r="AF37" s="50"/>
      <c r="AG37" s="10">
        <v>373.32</v>
      </c>
      <c r="AH37" s="32"/>
      <c r="AI37" s="10"/>
      <c r="AJ37" s="10"/>
      <c r="AK37" s="222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222"/>
      <c r="CD37" s="10"/>
      <c r="CE37" s="10"/>
      <c r="CF37" s="10"/>
      <c r="CG37" s="10"/>
      <c r="CH37" s="10"/>
      <c r="CI37" s="10"/>
      <c r="CJ37" s="28"/>
      <c r="CK37" s="181"/>
      <c r="CL37" s="46">
        <f t="shared" si="2"/>
        <v>0</v>
      </c>
      <c r="CM37" s="46">
        <f t="shared" si="2"/>
        <v>373.32</v>
      </c>
      <c r="CN37" s="46">
        <f t="shared" si="3"/>
        <v>373.32</v>
      </c>
      <c r="CO37" s="48"/>
      <c r="CP37" s="50"/>
      <c r="CQ37" s="181"/>
      <c r="CR37" s="216"/>
      <c r="CS37" s="50"/>
      <c r="CT37" s="28">
        <v>92.29</v>
      </c>
      <c r="CU37" s="28"/>
      <c r="CV37" s="8">
        <f>694.74*0.396</f>
        <v>275.11704000000003</v>
      </c>
      <c r="CW37" s="28"/>
      <c r="CX37" s="127"/>
      <c r="CY37" s="39"/>
      <c r="CZ37" s="215">
        <f>(168.68+168.68)*0.298</f>
        <v>100.53328</v>
      </c>
      <c r="DA37" s="39"/>
      <c r="DB37" s="39"/>
      <c r="DC37" s="39"/>
      <c r="DD37" s="36"/>
      <c r="DE37" s="181"/>
      <c r="DF37" s="181"/>
      <c r="DG37" s="173"/>
      <c r="DH37" s="173"/>
      <c r="DI37" s="217">
        <f t="shared" si="4"/>
        <v>1167596.66216</v>
      </c>
      <c r="DJ37" s="218">
        <f t="shared" si="4"/>
        <v>154200.78748000003</v>
      </c>
      <c r="DK37" s="183">
        <f t="shared" si="5"/>
        <v>1321797.44964</v>
      </c>
      <c r="DM37" s="195"/>
      <c r="DO37" s="195"/>
    </row>
    <row r="38" spans="1:119" ht="19.5" thickBot="1">
      <c r="A38" s="4">
        <v>32</v>
      </c>
      <c r="B38" s="4" t="s">
        <v>33</v>
      </c>
      <c r="C38" s="199">
        <f>333243.89*1.24</f>
        <v>413222.42360000004</v>
      </c>
      <c r="D38" s="11">
        <f>35506.68*1.24</f>
        <v>44028.2832</v>
      </c>
      <c r="E38" s="11">
        <f>73313.66*1.252</f>
        <v>91788.70232000001</v>
      </c>
      <c r="F38" s="11">
        <f>7831.07*1.252</f>
        <v>9804.49964</v>
      </c>
      <c r="G38" s="11"/>
      <c r="H38" s="11">
        <v>18.72</v>
      </c>
      <c r="I38" s="11"/>
      <c r="J38" s="11"/>
      <c r="K38" s="11"/>
      <c r="L38" s="223">
        <v>1415</v>
      </c>
      <c r="M38" s="11"/>
      <c r="N38" s="11"/>
      <c r="O38" s="11"/>
      <c r="P38" s="11"/>
      <c r="Q38" s="11"/>
      <c r="R38" s="11"/>
      <c r="S38" s="11"/>
      <c r="T38" s="219">
        <v>874</v>
      </c>
      <c r="U38" s="11"/>
      <c r="V38" s="11"/>
      <c r="W38" s="11"/>
      <c r="X38" s="11"/>
      <c r="Y38" s="11"/>
      <c r="Z38" s="11"/>
      <c r="AA38" s="153">
        <f t="shared" si="6"/>
        <v>0</v>
      </c>
      <c r="AB38" s="153">
        <f t="shared" si="6"/>
        <v>2307.7200000000003</v>
      </c>
      <c r="AC38" s="247">
        <f t="shared" si="1"/>
        <v>2307.7200000000003</v>
      </c>
      <c r="AD38" s="13"/>
      <c r="AE38" s="142"/>
      <c r="AF38" s="237"/>
      <c r="AG38" s="11">
        <v>241.56</v>
      </c>
      <c r="AH38" s="33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223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223"/>
      <c r="CD38" s="11"/>
      <c r="CE38" s="11"/>
      <c r="CF38" s="11"/>
      <c r="CG38" s="10"/>
      <c r="CH38" s="11"/>
      <c r="CI38" s="11"/>
      <c r="CJ38" s="12"/>
      <c r="CK38" s="182"/>
      <c r="CL38" s="46">
        <f t="shared" si="2"/>
        <v>0</v>
      </c>
      <c r="CM38" s="46">
        <f t="shared" si="2"/>
        <v>241.56</v>
      </c>
      <c r="CN38" s="46">
        <f t="shared" si="3"/>
        <v>241.56</v>
      </c>
      <c r="CO38" s="253"/>
      <c r="CP38" s="51"/>
      <c r="CQ38" s="182"/>
      <c r="CR38" s="37"/>
      <c r="CS38" s="51"/>
      <c r="CT38" s="12">
        <v>46.14</v>
      </c>
      <c r="CU38" s="12"/>
      <c r="CV38" s="12">
        <f>681.16*0.396</f>
        <v>269.73936</v>
      </c>
      <c r="CW38" s="12"/>
      <c r="CX38" s="142"/>
      <c r="CY38" s="40"/>
      <c r="CZ38" s="40"/>
      <c r="DA38" s="40"/>
      <c r="DB38" s="40"/>
      <c r="DC38" s="40"/>
      <c r="DD38" s="37">
        <v>720</v>
      </c>
      <c r="DE38" s="182"/>
      <c r="DF38" s="182"/>
      <c r="DG38" s="256"/>
      <c r="DH38" s="256"/>
      <c r="DI38" s="217">
        <f t="shared" si="4"/>
        <v>505011.12592</v>
      </c>
      <c r="DJ38" s="218">
        <f t="shared" si="4"/>
        <v>57417.9422</v>
      </c>
      <c r="DK38" s="183">
        <f t="shared" si="5"/>
        <v>562429.0681200001</v>
      </c>
      <c r="DM38" s="195"/>
      <c r="DO38" s="195"/>
    </row>
    <row r="39" spans="1:115" s="1" customFormat="1" ht="19.5" thickBot="1">
      <c r="A39" s="249">
        <v>33</v>
      </c>
      <c r="B39" s="58" t="s">
        <v>54</v>
      </c>
      <c r="C39" s="61">
        <f aca="true" t="shared" si="7" ref="C39:BN39">SUM(C7:C38)</f>
        <v>23151091.74265</v>
      </c>
      <c r="D39" s="59">
        <f t="shared" si="7"/>
        <v>3567787.4606000003</v>
      </c>
      <c r="E39" s="59">
        <f t="shared" si="7"/>
        <v>5002209.4123599995</v>
      </c>
      <c r="F39" s="59">
        <f t="shared" si="7"/>
        <v>808443.1022000001</v>
      </c>
      <c r="G39" s="59">
        <f t="shared" si="7"/>
        <v>0</v>
      </c>
      <c r="H39" s="59">
        <f t="shared" si="7"/>
        <v>2081.04</v>
      </c>
      <c r="I39" s="59">
        <f t="shared" si="7"/>
        <v>0</v>
      </c>
      <c r="J39" s="59">
        <f t="shared" si="7"/>
        <v>0</v>
      </c>
      <c r="K39" s="59">
        <f t="shared" si="7"/>
        <v>0</v>
      </c>
      <c r="L39" s="59">
        <f t="shared" si="7"/>
        <v>371207</v>
      </c>
      <c r="M39" s="59">
        <f t="shared" si="7"/>
        <v>0</v>
      </c>
      <c r="N39" s="59">
        <f t="shared" si="7"/>
        <v>0</v>
      </c>
      <c r="O39" s="59">
        <f t="shared" si="7"/>
        <v>0</v>
      </c>
      <c r="P39" s="59">
        <f t="shared" si="7"/>
        <v>0</v>
      </c>
      <c r="Q39" s="59">
        <f t="shared" si="7"/>
        <v>0</v>
      </c>
      <c r="R39" s="59">
        <f t="shared" si="7"/>
        <v>3870</v>
      </c>
      <c r="S39" s="59">
        <f t="shared" si="7"/>
        <v>0</v>
      </c>
      <c r="T39" s="59">
        <f t="shared" si="7"/>
        <v>27968</v>
      </c>
      <c r="U39" s="59">
        <f t="shared" si="7"/>
        <v>0</v>
      </c>
      <c r="V39" s="59">
        <f t="shared" si="7"/>
        <v>0</v>
      </c>
      <c r="W39" s="59">
        <f t="shared" si="7"/>
        <v>0</v>
      </c>
      <c r="X39" s="59">
        <f t="shared" si="7"/>
        <v>0</v>
      </c>
      <c r="Y39" s="59">
        <f t="shared" si="7"/>
        <v>0</v>
      </c>
      <c r="Z39" s="59">
        <f t="shared" si="7"/>
        <v>0</v>
      </c>
      <c r="AA39" s="59">
        <f t="shared" si="7"/>
        <v>0</v>
      </c>
      <c r="AB39" s="59">
        <f t="shared" si="7"/>
        <v>405126.04000000004</v>
      </c>
      <c r="AC39" s="60">
        <f t="shared" si="7"/>
        <v>405126.04000000004</v>
      </c>
      <c r="AD39" s="60">
        <f t="shared" si="7"/>
        <v>0</v>
      </c>
      <c r="AE39" s="62">
        <f t="shared" si="7"/>
        <v>-88487.8</v>
      </c>
      <c r="AF39" s="62">
        <f t="shared" si="7"/>
        <v>0</v>
      </c>
      <c r="AG39" s="59">
        <f t="shared" si="7"/>
        <v>16314.969999999998</v>
      </c>
      <c r="AH39" s="59">
        <f t="shared" si="7"/>
        <v>0</v>
      </c>
      <c r="AI39" s="59">
        <f t="shared" si="7"/>
        <v>0</v>
      </c>
      <c r="AJ39" s="59">
        <f t="shared" si="7"/>
        <v>0</v>
      </c>
      <c r="AK39" s="261">
        <f t="shared" si="7"/>
        <v>0</v>
      </c>
      <c r="AL39" s="59">
        <f t="shared" si="7"/>
        <v>0</v>
      </c>
      <c r="AM39" s="59">
        <f t="shared" si="7"/>
        <v>0</v>
      </c>
      <c r="AN39" s="59">
        <f t="shared" si="7"/>
        <v>0</v>
      </c>
      <c r="AO39" s="59">
        <f t="shared" si="7"/>
        <v>1296</v>
      </c>
      <c r="AP39" s="59">
        <f t="shared" si="7"/>
        <v>0</v>
      </c>
      <c r="AQ39" s="59">
        <f t="shared" si="7"/>
        <v>0</v>
      </c>
      <c r="AR39" s="59">
        <f t="shared" si="7"/>
        <v>0</v>
      </c>
      <c r="AS39" s="59">
        <f t="shared" si="7"/>
        <v>0</v>
      </c>
      <c r="AT39" s="59">
        <f t="shared" si="7"/>
        <v>0</v>
      </c>
      <c r="AU39" s="59">
        <f t="shared" si="7"/>
        <v>0</v>
      </c>
      <c r="AV39" s="59">
        <f t="shared" si="7"/>
        <v>0</v>
      </c>
      <c r="AW39" s="59">
        <f t="shared" si="7"/>
        <v>0</v>
      </c>
      <c r="AX39" s="59">
        <f t="shared" si="7"/>
        <v>0</v>
      </c>
      <c r="AY39" s="261">
        <f t="shared" si="7"/>
        <v>0</v>
      </c>
      <c r="AZ39" s="59">
        <f t="shared" si="7"/>
        <v>0</v>
      </c>
      <c r="BA39" s="59">
        <f t="shared" si="7"/>
        <v>0</v>
      </c>
      <c r="BB39" s="59">
        <f t="shared" si="7"/>
        <v>0</v>
      </c>
      <c r="BC39" s="59">
        <f t="shared" si="7"/>
        <v>0</v>
      </c>
      <c r="BD39" s="59">
        <f t="shared" si="7"/>
        <v>0</v>
      </c>
      <c r="BE39" s="59">
        <f t="shared" si="7"/>
        <v>0</v>
      </c>
      <c r="BF39" s="59">
        <f t="shared" si="7"/>
        <v>0</v>
      </c>
      <c r="BG39" s="59">
        <f t="shared" si="7"/>
        <v>0</v>
      </c>
      <c r="BH39" s="59">
        <f t="shared" si="7"/>
        <v>0</v>
      </c>
      <c r="BI39" s="59">
        <f t="shared" si="7"/>
        <v>0</v>
      </c>
      <c r="BJ39" s="59">
        <f t="shared" si="7"/>
        <v>0</v>
      </c>
      <c r="BK39" s="59">
        <f t="shared" si="7"/>
        <v>0</v>
      </c>
      <c r="BL39" s="59">
        <f t="shared" si="7"/>
        <v>0</v>
      </c>
      <c r="BM39" s="59">
        <f t="shared" si="7"/>
        <v>0</v>
      </c>
      <c r="BN39" s="59">
        <f t="shared" si="7"/>
        <v>0</v>
      </c>
      <c r="BO39" s="59">
        <f aca="true" t="shared" si="8" ref="BO39:DK39">SUM(BO7:BO38)</f>
        <v>0</v>
      </c>
      <c r="BP39" s="59">
        <f t="shared" si="8"/>
        <v>0</v>
      </c>
      <c r="BQ39" s="59">
        <f t="shared" si="8"/>
        <v>0</v>
      </c>
      <c r="BR39" s="59">
        <f t="shared" si="8"/>
        <v>0</v>
      </c>
      <c r="BS39" s="59">
        <f t="shared" si="8"/>
        <v>0</v>
      </c>
      <c r="BT39" s="59">
        <f t="shared" si="8"/>
        <v>0</v>
      </c>
      <c r="BU39" s="59">
        <f t="shared" si="8"/>
        <v>0</v>
      </c>
      <c r="BV39" s="59">
        <f t="shared" si="8"/>
        <v>0</v>
      </c>
      <c r="BW39" s="59">
        <f t="shared" si="8"/>
        <v>0</v>
      </c>
      <c r="BX39" s="59">
        <f t="shared" si="8"/>
        <v>0</v>
      </c>
      <c r="BY39" s="59">
        <f t="shared" si="8"/>
        <v>0</v>
      </c>
      <c r="BZ39" s="59">
        <f t="shared" si="8"/>
        <v>0</v>
      </c>
      <c r="CA39" s="59">
        <f t="shared" si="8"/>
        <v>0</v>
      </c>
      <c r="CB39" s="59">
        <f t="shared" si="8"/>
        <v>0</v>
      </c>
      <c r="CC39" s="59">
        <f t="shared" si="8"/>
        <v>5030</v>
      </c>
      <c r="CD39" s="59">
        <f t="shared" si="8"/>
        <v>0</v>
      </c>
      <c r="CE39" s="59">
        <f t="shared" si="8"/>
        <v>0</v>
      </c>
      <c r="CF39" s="59">
        <f t="shared" si="8"/>
        <v>0</v>
      </c>
      <c r="CG39" s="59">
        <f t="shared" si="8"/>
        <v>0</v>
      </c>
      <c r="CH39" s="59">
        <f t="shared" si="8"/>
        <v>0</v>
      </c>
      <c r="CI39" s="59">
        <f t="shared" si="8"/>
        <v>0</v>
      </c>
      <c r="CJ39" s="59">
        <f t="shared" si="8"/>
        <v>0</v>
      </c>
      <c r="CK39" s="55">
        <f t="shared" si="8"/>
        <v>17.74</v>
      </c>
      <c r="CL39" s="45">
        <f t="shared" si="8"/>
        <v>0</v>
      </c>
      <c r="CM39" s="45">
        <f t="shared" si="8"/>
        <v>22658.71</v>
      </c>
      <c r="CN39" s="45">
        <f t="shared" si="8"/>
        <v>22658.71</v>
      </c>
      <c r="CO39" s="184">
        <f t="shared" si="8"/>
        <v>0</v>
      </c>
      <c r="CP39" s="238">
        <f t="shared" si="8"/>
        <v>1190</v>
      </c>
      <c r="CQ39" s="55">
        <f t="shared" si="8"/>
        <v>0</v>
      </c>
      <c r="CR39" s="45">
        <f t="shared" si="8"/>
        <v>-18886.920000000002</v>
      </c>
      <c r="CS39" s="238">
        <f t="shared" si="8"/>
        <v>0</v>
      </c>
      <c r="CT39" s="60">
        <f t="shared" si="8"/>
        <v>21120.46</v>
      </c>
      <c r="CU39" s="60">
        <f t="shared" si="8"/>
        <v>0</v>
      </c>
      <c r="CV39" s="60">
        <f t="shared" si="8"/>
        <v>14165.157079999999</v>
      </c>
      <c r="CW39" s="60">
        <f t="shared" si="8"/>
        <v>0</v>
      </c>
      <c r="CX39" s="62">
        <f t="shared" si="8"/>
        <v>0</v>
      </c>
      <c r="CY39" s="62">
        <f t="shared" si="8"/>
        <v>0</v>
      </c>
      <c r="CZ39" s="62">
        <f t="shared" si="8"/>
        <v>2189.26894</v>
      </c>
      <c r="DA39" s="62">
        <f>SUM(DA7:DA38)</f>
        <v>0</v>
      </c>
      <c r="DB39" s="62">
        <f t="shared" si="8"/>
        <v>0</v>
      </c>
      <c r="DC39" s="62">
        <f t="shared" si="8"/>
        <v>0</v>
      </c>
      <c r="DD39" s="45">
        <f t="shared" si="8"/>
        <v>2664</v>
      </c>
      <c r="DE39" s="55">
        <f t="shared" si="8"/>
        <v>0</v>
      </c>
      <c r="DF39" s="55">
        <f t="shared" si="8"/>
        <v>0</v>
      </c>
      <c r="DG39" s="55">
        <f t="shared" si="8"/>
        <v>0</v>
      </c>
      <c r="DH39" s="55">
        <f t="shared" si="8"/>
        <v>0</v>
      </c>
      <c r="DI39" s="55">
        <f>SUM(DI7:DI38)</f>
        <v>28153301.155009996</v>
      </c>
      <c r="DJ39" s="45">
        <f t="shared" si="8"/>
        <v>4737969.478820001</v>
      </c>
      <c r="DK39" s="238">
        <f t="shared" si="8"/>
        <v>32891270.633830003</v>
      </c>
    </row>
    <row r="40" spans="1:115" ht="19.5" thickBot="1">
      <c r="A40" s="161">
        <v>34</v>
      </c>
      <c r="B40" s="162" t="s">
        <v>55</v>
      </c>
      <c r="C40" s="162"/>
      <c r="D40" s="162"/>
      <c r="E40" s="162"/>
      <c r="F40" s="197"/>
      <c r="G40" s="197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3"/>
      <c r="AA40" s="245">
        <f>C40+E40+G40+I40+K40+M40+O40+Q40+S40+U40+W40+Y40</f>
        <v>0</v>
      </c>
      <c r="AB40" s="245">
        <f>D40+F40+H40+J40+L40+N40+P40+R40+T40+V40+X40+Z40</f>
        <v>0</v>
      </c>
      <c r="AC40" s="245">
        <f>AA40+AB40</f>
        <v>0</v>
      </c>
      <c r="AD40" s="164"/>
      <c r="AE40" s="165"/>
      <c r="AF40" s="239"/>
      <c r="AG40" s="248"/>
      <c r="AH40" s="171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7"/>
      <c r="CK40" s="169"/>
      <c r="CL40" s="166">
        <f>AF40+AH40+AJ40+AL40+AN40+AP40+AR40+AT40+AV40+AX40+AZ40+BB40+BD40+BF40+BH40+BJ40+BL40+BN40+BP40+BR40+BT40+BV40+BX40+BZ40+CB40+CD40+CF40+CH40+CJ40</f>
        <v>0</v>
      </c>
      <c r="CM40" s="170">
        <f>AG40+AI40+AK40+AM40+AO40+AQ40+AS40+AU40+AW40+AY40+BA40+BC40+BE40+BG40+BI40+BK40+BM40+BO40+BQ40+BS40+BU40+BW40+BY40+CA40+CC40+CE40+CG40+CI40+CK40</f>
        <v>0</v>
      </c>
      <c r="CN40" s="166">
        <f t="shared" si="3"/>
        <v>0</v>
      </c>
      <c r="CO40" s="168"/>
      <c r="CP40" s="170"/>
      <c r="CQ40" s="257"/>
      <c r="CR40" s="166"/>
      <c r="CS40" s="170"/>
      <c r="CT40" s="167"/>
      <c r="CU40" s="167"/>
      <c r="CV40" s="167"/>
      <c r="CW40" s="167"/>
      <c r="CX40" s="165"/>
      <c r="CY40" s="168"/>
      <c r="CZ40" s="168"/>
      <c r="DA40" s="168"/>
      <c r="DB40" s="168"/>
      <c r="DC40" s="168"/>
      <c r="DD40" s="166"/>
      <c r="DE40" s="169"/>
      <c r="DF40" s="169"/>
      <c r="DG40" s="169"/>
      <c r="DH40" s="169"/>
      <c r="DI40" s="166">
        <f>C40+E40+AA40+AD40+CL40+CO40+CQ40+CS40+CU40+CW40+CY40+DA40+DC40+DE40+DG40</f>
        <v>0</v>
      </c>
      <c r="DJ40" s="166">
        <f>D40+F40+AB40+AE40+CM40+CP40+CR40+CT40+CV40+CX40+CZ40+DB40+DD40+DF40+DH40</f>
        <v>0</v>
      </c>
      <c r="DK40" s="185">
        <f>DI40+DJ40</f>
        <v>0</v>
      </c>
    </row>
    <row r="41" spans="1:115" ht="19.5" hidden="1" thickBot="1">
      <c r="A41" s="56">
        <v>42</v>
      </c>
      <c r="B41" s="56" t="s">
        <v>56</v>
      </c>
      <c r="C41" s="228"/>
      <c r="D41" s="198">
        <f>D42+D43</f>
        <v>0</v>
      </c>
      <c r="E41" s="198"/>
      <c r="F41" s="198">
        <f>F42+F43</f>
        <v>0</v>
      </c>
      <c r="G41" s="198"/>
      <c r="H41" s="67">
        <f>H42+H43</f>
        <v>0</v>
      </c>
      <c r="I41" s="67"/>
      <c r="J41" s="67">
        <f>J42+J43</f>
        <v>0</v>
      </c>
      <c r="K41" s="67"/>
      <c r="L41" s="67">
        <f>L42+L43</f>
        <v>0</v>
      </c>
      <c r="M41" s="67"/>
      <c r="N41" s="67">
        <f>N42+N43</f>
        <v>0</v>
      </c>
      <c r="O41" s="67"/>
      <c r="P41" s="67">
        <f>P42+P43</f>
        <v>0</v>
      </c>
      <c r="Q41" s="67"/>
      <c r="R41" s="67">
        <f>R42+R43</f>
        <v>0</v>
      </c>
      <c r="S41" s="67"/>
      <c r="T41" s="67">
        <f>T42+T43</f>
        <v>0</v>
      </c>
      <c r="U41" s="67"/>
      <c r="V41" s="67">
        <f>V42+V43</f>
        <v>0</v>
      </c>
      <c r="W41" s="67"/>
      <c r="X41" s="67">
        <f>X42+X43</f>
        <v>0</v>
      </c>
      <c r="Y41" s="67"/>
      <c r="Z41" s="67">
        <f>Z42+Z43</f>
        <v>0</v>
      </c>
      <c r="AA41" s="68"/>
      <c r="AB41" s="68"/>
      <c r="AC41" s="68">
        <f>AC42+AC43</f>
        <v>0</v>
      </c>
      <c r="AD41" s="68"/>
      <c r="AE41" s="69">
        <f>AE42+AE43</f>
        <v>0</v>
      </c>
      <c r="AF41" s="209"/>
      <c r="AG41" s="246">
        <f>AG42+AG43</f>
        <v>0</v>
      </c>
      <c r="AH41" s="228"/>
      <c r="AI41" s="67">
        <f>AI42+AI43</f>
        <v>0</v>
      </c>
      <c r="AJ41" s="67"/>
      <c r="AK41" s="67">
        <f>AK42+AK43</f>
        <v>0</v>
      </c>
      <c r="AL41" s="67"/>
      <c r="AM41" s="67">
        <f>AM42+AM43</f>
        <v>0</v>
      </c>
      <c r="AN41" s="67"/>
      <c r="AO41" s="67">
        <f>AO42+AO43</f>
        <v>0</v>
      </c>
      <c r="AP41" s="67"/>
      <c r="AQ41" s="67">
        <f>AQ42+AQ43</f>
        <v>0</v>
      </c>
      <c r="AR41" s="67"/>
      <c r="AS41" s="67">
        <f>AS42+AS43</f>
        <v>0</v>
      </c>
      <c r="AT41" s="67"/>
      <c r="AU41" s="67">
        <f>AU42+AU43</f>
        <v>0</v>
      </c>
      <c r="AV41" s="67"/>
      <c r="AW41" s="67">
        <f>AW42+AW43</f>
        <v>0</v>
      </c>
      <c r="AX41" s="67"/>
      <c r="AY41" s="67">
        <f>AY42+AY43</f>
        <v>0</v>
      </c>
      <c r="AZ41" s="67"/>
      <c r="BA41" s="67">
        <f>BA42+BA43</f>
        <v>0</v>
      </c>
      <c r="BB41" s="67"/>
      <c r="BC41" s="67">
        <f>BC42+BC43</f>
        <v>0</v>
      </c>
      <c r="BD41" s="67"/>
      <c r="BE41" s="67">
        <f>BE42+BE43</f>
        <v>0</v>
      </c>
      <c r="BF41" s="67"/>
      <c r="BG41" s="67">
        <f>BG42+BG43</f>
        <v>0</v>
      </c>
      <c r="BH41" s="67"/>
      <c r="BI41" s="67">
        <f>BI42+BI43</f>
        <v>0</v>
      </c>
      <c r="BJ41" s="67"/>
      <c r="BK41" s="67">
        <f>BK42+BK43</f>
        <v>0</v>
      </c>
      <c r="BL41" s="67"/>
      <c r="BM41" s="67">
        <f>BM42+BM43</f>
        <v>0</v>
      </c>
      <c r="BN41" s="67"/>
      <c r="BO41" s="67">
        <f>BO42+BO43</f>
        <v>0</v>
      </c>
      <c r="BP41" s="67"/>
      <c r="BQ41" s="67">
        <f>BQ42+BQ43</f>
        <v>0</v>
      </c>
      <c r="BR41" s="67"/>
      <c r="BS41" s="67">
        <f>BS42+BS43</f>
        <v>0</v>
      </c>
      <c r="BT41" s="67"/>
      <c r="BU41" s="67">
        <f>BU42+BU43</f>
        <v>0</v>
      </c>
      <c r="BV41" s="67"/>
      <c r="BW41" s="67">
        <f>BW42+BW43</f>
        <v>0</v>
      </c>
      <c r="BX41" s="67"/>
      <c r="BY41" s="67">
        <f>BY42+BY43</f>
        <v>0</v>
      </c>
      <c r="BZ41" s="67"/>
      <c r="CA41" s="67">
        <f>CA42+CA43</f>
        <v>0</v>
      </c>
      <c r="CB41" s="67"/>
      <c r="CC41" s="67">
        <f>CC42+CC43</f>
        <v>0</v>
      </c>
      <c r="CD41" s="67"/>
      <c r="CE41" s="67">
        <f>CE42+CE43</f>
        <v>0</v>
      </c>
      <c r="CF41" s="67"/>
      <c r="CG41" s="67">
        <f>CG42+CG43</f>
        <v>0</v>
      </c>
      <c r="CH41" s="67"/>
      <c r="CI41" s="67">
        <f>CI42+CI43</f>
        <v>0</v>
      </c>
      <c r="CJ41" s="68"/>
      <c r="CK41" s="56">
        <f>CK42+CK43</f>
        <v>0</v>
      </c>
      <c r="CL41" s="47"/>
      <c r="CM41" s="228"/>
      <c r="CN41" s="47">
        <f>CN42+CN43</f>
        <v>0</v>
      </c>
      <c r="CO41" s="209"/>
      <c r="CP41" s="228">
        <f>CP42+CP43</f>
        <v>0</v>
      </c>
      <c r="CQ41" s="47"/>
      <c r="CR41" s="47"/>
      <c r="CS41" s="228"/>
      <c r="CT41" s="68">
        <f>CT42+CT43</f>
        <v>0</v>
      </c>
      <c r="CU41" s="68"/>
      <c r="CV41" s="68">
        <f>CV42+CV43</f>
        <v>0</v>
      </c>
      <c r="CW41" s="68"/>
      <c r="CX41" s="69">
        <f>CX42+CX43</f>
        <v>0</v>
      </c>
      <c r="CY41" s="209"/>
      <c r="CZ41" s="209"/>
      <c r="DA41" s="209"/>
      <c r="DB41" s="209"/>
      <c r="DC41" s="209"/>
      <c r="DD41" s="47">
        <f>DD42+DD43</f>
        <v>0</v>
      </c>
      <c r="DE41" s="56"/>
      <c r="DF41" s="56">
        <f>DF42+DF43</f>
        <v>0</v>
      </c>
      <c r="DG41" s="56"/>
      <c r="DH41" s="56">
        <f>DH42+DH43</f>
        <v>0</v>
      </c>
      <c r="DI41" s="47"/>
      <c r="DJ41" s="47"/>
      <c r="DK41" s="194" t="e">
        <f>DK42+DK43</f>
        <v>#REF!</v>
      </c>
    </row>
    <row r="42" spans="1:119" ht="19.5" hidden="1" thickBot="1">
      <c r="A42" s="63">
        <v>43</v>
      </c>
      <c r="B42" s="63" t="s">
        <v>34</v>
      </c>
      <c r="C42" s="63"/>
      <c r="D42" s="151"/>
      <c r="E42" s="151"/>
      <c r="F42" s="151"/>
      <c r="G42" s="151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18"/>
      <c r="AB42" s="118"/>
      <c r="AC42" s="118">
        <f>SUM(H42:Z42)</f>
        <v>0</v>
      </c>
      <c r="AD42" s="118"/>
      <c r="AE42" s="128"/>
      <c r="AF42" s="52"/>
      <c r="AG42" s="66"/>
      <c r="AH42" s="66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5"/>
      <c r="CK42" s="173"/>
      <c r="CL42" s="46"/>
      <c r="CM42" s="52"/>
      <c r="CN42" s="46">
        <f>SUM(AG42:CK42)</f>
        <v>0</v>
      </c>
      <c r="CO42" s="48"/>
      <c r="CP42" s="52"/>
      <c r="CQ42" s="46"/>
      <c r="CR42" s="46"/>
      <c r="CS42" s="52"/>
      <c r="CT42" s="65"/>
      <c r="CU42" s="65"/>
      <c r="CV42" s="65"/>
      <c r="CW42" s="65"/>
      <c r="CX42" s="128"/>
      <c r="CY42" s="48"/>
      <c r="CZ42" s="48"/>
      <c r="DA42" s="48"/>
      <c r="DB42" s="48"/>
      <c r="DC42" s="48"/>
      <c r="DD42" s="46"/>
      <c r="DE42" s="173"/>
      <c r="DF42" s="173"/>
      <c r="DG42" s="173"/>
      <c r="DH42" s="173"/>
      <c r="DI42" s="46"/>
      <c r="DJ42" s="46"/>
      <c r="DK42" s="183" t="e">
        <f>D42+F42+AC42+AE42+CN42+CP42+CR42+CT42+CV42+#REF!+CX42+DD42+DF42</f>
        <v>#REF!</v>
      </c>
      <c r="DL42" s="3"/>
      <c r="DM42" s="3"/>
      <c r="DN42" s="3"/>
      <c r="DO42" s="3"/>
    </row>
    <row r="43" spans="1:115" ht="19.5" hidden="1" thickBot="1">
      <c r="A43" s="4">
        <v>44</v>
      </c>
      <c r="B43" s="4" t="s">
        <v>5</v>
      </c>
      <c r="C43" s="4"/>
      <c r="D43" s="199"/>
      <c r="E43" s="199"/>
      <c r="F43" s="199"/>
      <c r="G43" s="19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2"/>
      <c r="AA43" s="230"/>
      <c r="AB43" s="230"/>
      <c r="AC43" s="118">
        <f>SUM(H43:Z43)</f>
        <v>0</v>
      </c>
      <c r="AD43" s="236"/>
      <c r="AE43" s="129"/>
      <c r="AF43" s="27"/>
      <c r="AG43" s="126"/>
      <c r="AH43" s="126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70"/>
      <c r="CK43" s="251"/>
      <c r="CL43" s="252"/>
      <c r="CM43" s="250"/>
      <c r="CN43" s="46">
        <f>SUM(AG43:CK43)</f>
        <v>0</v>
      </c>
      <c r="CO43" s="253"/>
      <c r="CP43" s="237"/>
      <c r="CQ43" s="71"/>
      <c r="CR43" s="157"/>
      <c r="CS43" s="27"/>
      <c r="CT43" s="26"/>
      <c r="CU43" s="26"/>
      <c r="CV43" s="26"/>
      <c r="CW43" s="26"/>
      <c r="CX43" s="129"/>
      <c r="CY43" s="72"/>
      <c r="CZ43" s="72"/>
      <c r="DA43" s="72"/>
      <c r="DB43" s="72"/>
      <c r="DC43" s="72"/>
      <c r="DD43" s="157"/>
      <c r="DE43" s="178"/>
      <c r="DF43" s="178"/>
      <c r="DG43" s="235"/>
      <c r="DH43" s="235"/>
      <c r="DI43" s="208"/>
      <c r="DJ43" s="208"/>
      <c r="DK43" s="186" t="e">
        <f>D43+F43+AC43+AE43+CN43+CP43+CR43+CT43+CV43+#REF!+CX43+DD43+DF43</f>
        <v>#REF!</v>
      </c>
    </row>
    <row r="44" spans="1:115" ht="38.25" hidden="1" thickBot="1">
      <c r="A44" s="76">
        <v>45</v>
      </c>
      <c r="B44" s="77" t="s">
        <v>72</v>
      </c>
      <c r="C44" s="77"/>
      <c r="D44" s="200"/>
      <c r="E44" s="200"/>
      <c r="F44" s="200"/>
      <c r="G44" s="200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7"/>
      <c r="AA44" s="119"/>
      <c r="AB44" s="119"/>
      <c r="AC44" s="119">
        <f>SUM(H44:Z44)</f>
        <v>0</v>
      </c>
      <c r="AD44" s="119"/>
      <c r="AE44" s="130"/>
      <c r="AF44" s="82"/>
      <c r="AG44" s="80"/>
      <c r="AH44" s="81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9"/>
      <c r="CK44" s="174"/>
      <c r="CL44" s="80"/>
      <c r="CM44" s="81"/>
      <c r="CN44" s="80">
        <f>SUM(AG44:CK44)</f>
        <v>0</v>
      </c>
      <c r="CO44" s="82"/>
      <c r="CP44" s="81"/>
      <c r="CQ44" s="80"/>
      <c r="CR44" s="80"/>
      <c r="CS44" s="81"/>
      <c r="CT44" s="79"/>
      <c r="CU44" s="79"/>
      <c r="CV44" s="79"/>
      <c r="CW44" s="79"/>
      <c r="CX44" s="130"/>
      <c r="CY44" s="82"/>
      <c r="CZ44" s="82"/>
      <c r="DA44" s="82"/>
      <c r="DB44" s="82"/>
      <c r="DC44" s="82"/>
      <c r="DD44" s="80"/>
      <c r="DE44" s="174"/>
      <c r="DF44" s="174"/>
      <c r="DG44" s="174"/>
      <c r="DH44" s="174"/>
      <c r="DI44" s="80"/>
      <c r="DJ44" s="80"/>
      <c r="DK44" s="187" t="e">
        <f>D44+F44+AC44+AE44+CN44+CP44+CR44+CT44+CV44+#REF!+CX44+DD44+DF44+DH44</f>
        <v>#REF!</v>
      </c>
    </row>
    <row r="45" spans="1:115" s="25" customFormat="1" ht="19.5" hidden="1" thickBot="1">
      <c r="A45" s="143">
        <v>46</v>
      </c>
      <c r="B45" s="144">
        <v>611161</v>
      </c>
      <c r="C45" s="144"/>
      <c r="D45" s="204">
        <f aca="true" t="shared" si="9" ref="D45:BE45">D46+D47+D48</f>
        <v>0</v>
      </c>
      <c r="E45" s="204"/>
      <c r="F45" s="204">
        <f t="shared" si="9"/>
        <v>0</v>
      </c>
      <c r="G45" s="204"/>
      <c r="H45" s="145">
        <f t="shared" si="9"/>
        <v>0</v>
      </c>
      <c r="I45" s="145"/>
      <c r="J45" s="145">
        <f t="shared" si="9"/>
        <v>0</v>
      </c>
      <c r="K45" s="145"/>
      <c r="L45" s="145">
        <f t="shared" si="9"/>
        <v>0</v>
      </c>
      <c r="M45" s="145"/>
      <c r="N45" s="145">
        <f t="shared" si="9"/>
        <v>0</v>
      </c>
      <c r="O45" s="145"/>
      <c r="P45" s="145">
        <f t="shared" si="9"/>
        <v>0</v>
      </c>
      <c r="Q45" s="145"/>
      <c r="R45" s="145">
        <f t="shared" si="9"/>
        <v>0</v>
      </c>
      <c r="S45" s="145"/>
      <c r="T45" s="145">
        <f t="shared" si="9"/>
        <v>0</v>
      </c>
      <c r="U45" s="145"/>
      <c r="V45" s="145">
        <f t="shared" si="9"/>
        <v>0</v>
      </c>
      <c r="W45" s="145"/>
      <c r="X45" s="145">
        <f t="shared" si="9"/>
        <v>0</v>
      </c>
      <c r="Y45" s="145"/>
      <c r="Z45" s="145">
        <f t="shared" si="9"/>
        <v>0</v>
      </c>
      <c r="AA45" s="146"/>
      <c r="AB45" s="146"/>
      <c r="AC45" s="146">
        <f t="shared" si="9"/>
        <v>0</v>
      </c>
      <c r="AD45" s="146"/>
      <c r="AE45" s="147">
        <f t="shared" si="9"/>
        <v>0</v>
      </c>
      <c r="AF45" s="240"/>
      <c r="AG45" s="172">
        <f t="shared" si="9"/>
        <v>0</v>
      </c>
      <c r="AH45" s="242"/>
      <c r="AI45" s="145">
        <f t="shared" si="9"/>
        <v>0</v>
      </c>
      <c r="AJ45" s="145"/>
      <c r="AK45" s="145">
        <f t="shared" si="9"/>
        <v>0</v>
      </c>
      <c r="AL45" s="145"/>
      <c r="AM45" s="145">
        <f t="shared" si="9"/>
        <v>0</v>
      </c>
      <c r="AN45" s="145"/>
      <c r="AO45" s="145">
        <f t="shared" si="9"/>
        <v>0</v>
      </c>
      <c r="AP45" s="145"/>
      <c r="AQ45" s="145">
        <f t="shared" si="9"/>
        <v>0</v>
      </c>
      <c r="AR45" s="145"/>
      <c r="AS45" s="145">
        <f t="shared" si="9"/>
        <v>0</v>
      </c>
      <c r="AT45" s="145"/>
      <c r="AU45" s="145">
        <f t="shared" si="9"/>
        <v>0</v>
      </c>
      <c r="AV45" s="145"/>
      <c r="AW45" s="145">
        <f t="shared" si="9"/>
        <v>0</v>
      </c>
      <c r="AX45" s="145"/>
      <c r="AY45" s="145">
        <f t="shared" si="9"/>
        <v>0</v>
      </c>
      <c r="AZ45" s="145"/>
      <c r="BA45" s="145">
        <f t="shared" si="9"/>
        <v>0</v>
      </c>
      <c r="BB45" s="145"/>
      <c r="BC45" s="145">
        <f t="shared" si="9"/>
        <v>0</v>
      </c>
      <c r="BD45" s="145"/>
      <c r="BE45" s="145">
        <f t="shared" si="9"/>
        <v>0</v>
      </c>
      <c r="BF45" s="145"/>
      <c r="BG45" s="145">
        <f>BG46+BG47+BG48</f>
        <v>0</v>
      </c>
      <c r="BH45" s="145"/>
      <c r="BI45" s="145">
        <f>BI46+BI47+BI48</f>
        <v>0</v>
      </c>
      <c r="BJ45" s="145"/>
      <c r="BK45" s="145">
        <f>BK46+BK47+BK48</f>
        <v>0</v>
      </c>
      <c r="BL45" s="145"/>
      <c r="BM45" s="145">
        <f>BM46+BM47+BM48</f>
        <v>0</v>
      </c>
      <c r="BN45" s="145"/>
      <c r="BO45" s="145">
        <f>BO46+BO47+BO48</f>
        <v>0</v>
      </c>
      <c r="BP45" s="145"/>
      <c r="BQ45" s="145">
        <f>BQ46+BQ47+BQ48</f>
        <v>0</v>
      </c>
      <c r="BR45" s="145"/>
      <c r="BS45" s="145">
        <f>BS46+BS47+BS48</f>
        <v>0</v>
      </c>
      <c r="BT45" s="145"/>
      <c r="BU45" s="145">
        <f>BU46+BU47+BU48</f>
        <v>0</v>
      </c>
      <c r="BV45" s="145"/>
      <c r="BW45" s="145">
        <f>BW46+BW47+BW48</f>
        <v>0</v>
      </c>
      <c r="BX45" s="145"/>
      <c r="BY45" s="145">
        <f>BY46+BY47+BY48</f>
        <v>0</v>
      </c>
      <c r="BZ45" s="145"/>
      <c r="CA45" s="145">
        <f>CA46+CA47+CA48</f>
        <v>0</v>
      </c>
      <c r="CB45" s="145"/>
      <c r="CC45" s="145">
        <f>CC46+CC47+CC48</f>
        <v>0</v>
      </c>
      <c r="CD45" s="145"/>
      <c r="CE45" s="145">
        <f>CE46+CE47+CE48</f>
        <v>0</v>
      </c>
      <c r="CF45" s="145"/>
      <c r="CG45" s="145">
        <f>CG46+CG47+CG48</f>
        <v>0</v>
      </c>
      <c r="CH45" s="145"/>
      <c r="CI45" s="145">
        <f>CI46+CI47+CI48</f>
        <v>0</v>
      </c>
      <c r="CJ45" s="146"/>
      <c r="CK45" s="75">
        <f>CK46+CK47+CK48</f>
        <v>0</v>
      </c>
      <c r="CL45" s="74"/>
      <c r="CM45" s="148"/>
      <c r="CN45" s="74">
        <f>CN46+CN47+CN48</f>
        <v>0</v>
      </c>
      <c r="CO45" s="210"/>
      <c r="CP45" s="148">
        <f>CP46+CP47+CP48</f>
        <v>0</v>
      </c>
      <c r="CQ45" s="74"/>
      <c r="CR45" s="74"/>
      <c r="CS45" s="240"/>
      <c r="CT45" s="73">
        <f>CT46+CT47+CT48</f>
        <v>0</v>
      </c>
      <c r="CU45" s="73"/>
      <c r="CV45" s="73">
        <f>CV46+CV47+CV48</f>
        <v>0</v>
      </c>
      <c r="CW45" s="73"/>
      <c r="CX45" s="149">
        <f>CX46+CX47+CX48</f>
        <v>0</v>
      </c>
      <c r="CY45" s="211"/>
      <c r="CZ45" s="211"/>
      <c r="DA45" s="211"/>
      <c r="DB45" s="211"/>
      <c r="DC45" s="211"/>
      <c r="DD45" s="74">
        <f>DD46+DD47+DD48</f>
        <v>0</v>
      </c>
      <c r="DE45" s="75"/>
      <c r="DF45" s="75">
        <f>DF46+DF47+DF48</f>
        <v>0</v>
      </c>
      <c r="DG45" s="75"/>
      <c r="DH45" s="75">
        <f>DH46+DH47+DH48</f>
        <v>0</v>
      </c>
      <c r="DI45" s="74"/>
      <c r="DJ45" s="74"/>
      <c r="DK45" s="206" t="e">
        <f>DK46+DK47+DK48</f>
        <v>#REF!</v>
      </c>
    </row>
    <row r="46" spans="1:115" ht="19.5" hidden="1" thickBot="1">
      <c r="A46" s="83">
        <v>47</v>
      </c>
      <c r="B46" s="84">
        <v>70804</v>
      </c>
      <c r="C46" s="84"/>
      <c r="D46" s="196"/>
      <c r="E46" s="196"/>
      <c r="F46" s="196"/>
      <c r="G46" s="196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4"/>
      <c r="AA46" s="120"/>
      <c r="AB46" s="120"/>
      <c r="AC46" s="120">
        <f>SUM(H46:Z46)</f>
        <v>0</v>
      </c>
      <c r="AD46" s="120"/>
      <c r="AE46" s="131"/>
      <c r="AF46" s="241"/>
      <c r="AG46" s="156"/>
      <c r="AH46" s="243"/>
      <c r="AI46" s="87"/>
      <c r="AJ46" s="87"/>
      <c r="AK46" s="85"/>
      <c r="AL46" s="85"/>
      <c r="AM46" s="85"/>
      <c r="AN46" s="85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6"/>
      <c r="BJ46" s="86"/>
      <c r="BK46" s="87"/>
      <c r="BL46" s="87"/>
      <c r="BM46" s="86"/>
      <c r="BN46" s="86"/>
      <c r="BO46" s="87"/>
      <c r="BP46" s="87"/>
      <c r="BQ46" s="87"/>
      <c r="BR46" s="87"/>
      <c r="BS46" s="87"/>
      <c r="BT46" s="87"/>
      <c r="BU46" s="87"/>
      <c r="BV46" s="87"/>
      <c r="BW46" s="85"/>
      <c r="BX46" s="85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8"/>
      <c r="CK46" s="175"/>
      <c r="CL46" s="49"/>
      <c r="CM46" s="115"/>
      <c r="CN46" s="207">
        <f>SUM(AG46:CK46)</f>
        <v>0</v>
      </c>
      <c r="CO46" s="254"/>
      <c r="CP46" s="255"/>
      <c r="CQ46" s="258"/>
      <c r="CR46" s="49"/>
      <c r="CS46" s="115"/>
      <c r="CT46" s="29"/>
      <c r="CU46" s="29"/>
      <c r="CV46" s="29"/>
      <c r="CW46" s="29"/>
      <c r="CX46" s="141"/>
      <c r="CY46" s="212"/>
      <c r="CZ46" s="212"/>
      <c r="DA46" s="212"/>
      <c r="DB46" s="212"/>
      <c r="DC46" s="212"/>
      <c r="DD46" s="49"/>
      <c r="DE46" s="175"/>
      <c r="DF46" s="175"/>
      <c r="DG46" s="175"/>
      <c r="DH46" s="175"/>
      <c r="DI46" s="49"/>
      <c r="DJ46" s="49"/>
      <c r="DK46" s="188" t="e">
        <f>D46+F46+AC46+AE46+CN46+CP46+CR46+CT46+CV46+#REF!+CX46+DD46+DF46+DH46</f>
        <v>#REF!</v>
      </c>
    </row>
    <row r="47" spans="1:115" ht="19.5" hidden="1" thickBot="1">
      <c r="A47" s="15">
        <v>48</v>
      </c>
      <c r="B47" s="16">
        <v>70805</v>
      </c>
      <c r="C47" s="16"/>
      <c r="D47" s="202"/>
      <c r="E47" s="202"/>
      <c r="F47" s="202"/>
      <c r="G47" s="20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21"/>
      <c r="AB47" s="121"/>
      <c r="AC47" s="121">
        <f>SUM(H47:Z47)</f>
        <v>0</v>
      </c>
      <c r="AD47" s="121"/>
      <c r="AE47" s="132"/>
      <c r="AF47" s="53"/>
      <c r="AG47" s="34"/>
      <c r="AH47" s="34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30"/>
      <c r="CK47" s="176"/>
      <c r="CL47" s="38"/>
      <c r="CM47" s="53"/>
      <c r="CN47" s="38">
        <f>SUM(AG47:CK47)</f>
        <v>0</v>
      </c>
      <c r="CO47" s="41"/>
      <c r="CP47" s="53"/>
      <c r="CQ47" s="38"/>
      <c r="CR47" s="38"/>
      <c r="CS47" s="53"/>
      <c r="CT47" s="30"/>
      <c r="CU47" s="30"/>
      <c r="CV47" s="30"/>
      <c r="CW47" s="30"/>
      <c r="CX47" s="132"/>
      <c r="CY47" s="41"/>
      <c r="CZ47" s="41"/>
      <c r="DA47" s="41"/>
      <c r="DB47" s="41"/>
      <c r="DC47" s="41"/>
      <c r="DD47" s="38"/>
      <c r="DE47" s="176"/>
      <c r="DF47" s="176"/>
      <c r="DG47" s="176"/>
      <c r="DH47" s="176"/>
      <c r="DI47" s="38"/>
      <c r="DJ47" s="38"/>
      <c r="DK47" s="189" t="e">
        <f>D47+F47+AC47+AE47+CN47+CP47+CR47+CT47+CV47+#REF!+CX47+DD47+DF47+DH47</f>
        <v>#REF!</v>
      </c>
    </row>
    <row r="48" spans="1:115" ht="19.5" hidden="1" thickBot="1">
      <c r="A48" s="17">
        <v>49</v>
      </c>
      <c r="B48" s="17">
        <v>70806</v>
      </c>
      <c r="C48" s="17"/>
      <c r="D48" s="17">
        <f>D49+D50</f>
        <v>0</v>
      </c>
      <c r="E48" s="17"/>
      <c r="F48" s="205">
        <f>F49+F50</f>
        <v>0</v>
      </c>
      <c r="G48" s="205"/>
      <c r="H48" s="17">
        <f>H49+H50</f>
        <v>0</v>
      </c>
      <c r="I48" s="17"/>
      <c r="J48" s="17">
        <f>J49+J50</f>
        <v>0</v>
      </c>
      <c r="K48" s="17"/>
      <c r="L48" s="17">
        <f>L49+L50</f>
        <v>0</v>
      </c>
      <c r="M48" s="17"/>
      <c r="N48" s="17">
        <f>N49+N50</f>
        <v>0</v>
      </c>
      <c r="O48" s="17"/>
      <c r="P48" s="17">
        <f>P49+P50</f>
        <v>0</v>
      </c>
      <c r="Q48" s="17"/>
      <c r="R48" s="17">
        <f>R49+R50</f>
        <v>0</v>
      </c>
      <c r="S48" s="17"/>
      <c r="T48" s="17">
        <f>T49+T50</f>
        <v>0</v>
      </c>
      <c r="U48" s="17"/>
      <c r="V48" s="17">
        <f>V49+V50</f>
        <v>0</v>
      </c>
      <c r="W48" s="17"/>
      <c r="X48" s="17">
        <f>X49+X50</f>
        <v>0</v>
      </c>
      <c r="Y48" s="17"/>
      <c r="Z48" s="17">
        <f>Z49+Z50</f>
        <v>0</v>
      </c>
      <c r="AA48" s="31"/>
      <c r="AB48" s="31"/>
      <c r="AC48" s="31">
        <f>AC49+AC50</f>
        <v>0</v>
      </c>
      <c r="AD48" s="31"/>
      <c r="AE48" s="133">
        <f>AE49+AE50</f>
        <v>0</v>
      </c>
      <c r="AF48" s="54"/>
      <c r="AG48" s="35">
        <f>AG49+AG50</f>
        <v>0</v>
      </c>
      <c r="AH48" s="35"/>
      <c r="AI48" s="17">
        <f>AI49+AI50</f>
        <v>0</v>
      </c>
      <c r="AJ48" s="17"/>
      <c r="AK48" s="17">
        <f>AK49+AK50</f>
        <v>0</v>
      </c>
      <c r="AL48" s="17"/>
      <c r="AM48" s="17">
        <f>AM49+AM50</f>
        <v>0</v>
      </c>
      <c r="AN48" s="17"/>
      <c r="AO48" s="17">
        <f>AO49+AO50</f>
        <v>0</v>
      </c>
      <c r="AP48" s="17"/>
      <c r="AQ48" s="17">
        <f>AQ49+AQ50</f>
        <v>0</v>
      </c>
      <c r="AR48" s="17"/>
      <c r="AS48" s="17">
        <f>AS49+AS50</f>
        <v>0</v>
      </c>
      <c r="AT48" s="17"/>
      <c r="AU48" s="17">
        <f>AU49+AU50</f>
        <v>0</v>
      </c>
      <c r="AV48" s="17"/>
      <c r="AW48" s="17">
        <f>AW49+AW50</f>
        <v>0</v>
      </c>
      <c r="AX48" s="17"/>
      <c r="AY48" s="17">
        <f>AY49+AY50</f>
        <v>0</v>
      </c>
      <c r="AZ48" s="17"/>
      <c r="BA48" s="17">
        <f>BA49+BA50</f>
        <v>0</v>
      </c>
      <c r="BB48" s="17"/>
      <c r="BC48" s="17">
        <f>BC49+BC50</f>
        <v>0</v>
      </c>
      <c r="BD48" s="17"/>
      <c r="BE48" s="17">
        <f>BE49+BE50</f>
        <v>0</v>
      </c>
      <c r="BF48" s="17"/>
      <c r="BG48" s="17">
        <f>BG49+BG50</f>
        <v>0</v>
      </c>
      <c r="BH48" s="17"/>
      <c r="BI48" s="17">
        <f>BI49+BI50</f>
        <v>0</v>
      </c>
      <c r="BJ48" s="17"/>
      <c r="BK48" s="17">
        <f>BK49+BK50</f>
        <v>0</v>
      </c>
      <c r="BL48" s="17"/>
      <c r="BM48" s="17">
        <f>BM49+BM50</f>
        <v>0</v>
      </c>
      <c r="BN48" s="17"/>
      <c r="BO48" s="17">
        <f>BO49+BO50</f>
        <v>0</v>
      </c>
      <c r="BP48" s="17"/>
      <c r="BQ48" s="17">
        <f>BQ49+BQ50</f>
        <v>0</v>
      </c>
      <c r="BR48" s="17"/>
      <c r="BS48" s="17">
        <f>BS49+BS50</f>
        <v>0</v>
      </c>
      <c r="BT48" s="17"/>
      <c r="BU48" s="17">
        <f>BU49+BU50</f>
        <v>0</v>
      </c>
      <c r="BV48" s="17"/>
      <c r="BW48" s="17">
        <f>BW49+BW50</f>
        <v>0</v>
      </c>
      <c r="BX48" s="17"/>
      <c r="BY48" s="17">
        <f>BY49+BY50</f>
        <v>0</v>
      </c>
      <c r="BZ48" s="17"/>
      <c r="CA48" s="17">
        <f>CA49+CA50</f>
        <v>0</v>
      </c>
      <c r="CB48" s="17"/>
      <c r="CC48" s="17">
        <f>CC49+CC50</f>
        <v>0</v>
      </c>
      <c r="CD48" s="17"/>
      <c r="CE48" s="17">
        <f>CE49+CE50</f>
        <v>0</v>
      </c>
      <c r="CF48" s="17"/>
      <c r="CG48" s="17">
        <f>CG49+CG50</f>
        <v>0</v>
      </c>
      <c r="CH48" s="17"/>
      <c r="CI48" s="17">
        <f>CI49+CI50</f>
        <v>0</v>
      </c>
      <c r="CJ48" s="31"/>
      <c r="CK48" s="42">
        <f>CK49+CK50</f>
        <v>0</v>
      </c>
      <c r="CL48" s="158"/>
      <c r="CM48" s="54"/>
      <c r="CN48" s="158">
        <f>CN49+CN50</f>
        <v>0</v>
      </c>
      <c r="CO48" s="43"/>
      <c r="CP48" s="54">
        <f>CP49+CP50</f>
        <v>0</v>
      </c>
      <c r="CQ48" s="158"/>
      <c r="CR48" s="158"/>
      <c r="CS48" s="54"/>
      <c r="CT48" s="31">
        <f>CT49+CT50</f>
        <v>0</v>
      </c>
      <c r="CU48" s="31"/>
      <c r="CV48" s="31">
        <f>CV49+CV50</f>
        <v>0</v>
      </c>
      <c r="CW48" s="31"/>
      <c r="CX48" s="133">
        <f>CX49+CX50</f>
        <v>0</v>
      </c>
      <c r="CY48" s="43"/>
      <c r="CZ48" s="43"/>
      <c r="DA48" s="43"/>
      <c r="DB48" s="43"/>
      <c r="DC48" s="43"/>
      <c r="DD48" s="158">
        <f>DD49+DD50</f>
        <v>0</v>
      </c>
      <c r="DE48" s="42"/>
      <c r="DF48" s="42">
        <f>DF49+DF50</f>
        <v>0</v>
      </c>
      <c r="DG48" s="42"/>
      <c r="DH48" s="42">
        <f>DH49+DH50</f>
        <v>0</v>
      </c>
      <c r="DI48" s="158"/>
      <c r="DJ48" s="158"/>
      <c r="DK48" s="35" t="e">
        <f>DK49+DK50</f>
        <v>#REF!</v>
      </c>
    </row>
    <row r="49" spans="1:115" ht="19.5" hidden="1" thickBot="1">
      <c r="A49" s="6">
        <v>50</v>
      </c>
      <c r="B49" s="6" t="s">
        <v>6</v>
      </c>
      <c r="C49" s="6"/>
      <c r="D49" s="203"/>
      <c r="E49" s="203"/>
      <c r="F49" s="203"/>
      <c r="G49" s="20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4"/>
      <c r="AA49" s="122"/>
      <c r="AB49" s="122"/>
      <c r="AC49" s="122">
        <f>SUM(H49:Z49)</f>
        <v>0</v>
      </c>
      <c r="AD49" s="122"/>
      <c r="AE49" s="134"/>
      <c r="AF49" s="24"/>
      <c r="AG49" s="32"/>
      <c r="AH49" s="32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28"/>
      <c r="CK49" s="181"/>
      <c r="CL49" s="36"/>
      <c r="CM49" s="50"/>
      <c r="CN49" s="36">
        <f>SUM(AG49:CK49)</f>
        <v>0</v>
      </c>
      <c r="CO49" s="39"/>
      <c r="CP49" s="24"/>
      <c r="CQ49" s="159"/>
      <c r="CR49" s="159"/>
      <c r="CS49" s="24"/>
      <c r="CT49" s="23"/>
      <c r="CU49" s="23"/>
      <c r="CV49" s="23"/>
      <c r="CW49" s="23"/>
      <c r="CX49" s="134"/>
      <c r="CY49" s="44"/>
      <c r="CZ49" s="44"/>
      <c r="DA49" s="44"/>
      <c r="DB49" s="44"/>
      <c r="DC49" s="44"/>
      <c r="DD49" s="159"/>
      <c r="DE49" s="177"/>
      <c r="DF49" s="177"/>
      <c r="DG49" s="177"/>
      <c r="DH49" s="177"/>
      <c r="DI49" s="159"/>
      <c r="DJ49" s="159"/>
      <c r="DK49" s="190" t="e">
        <f>D49+F49+AC49+AE49+CN49+CP49+CR49+CT49+CV49+#REF!+CX49+DD49+DF49+DH49</f>
        <v>#REF!</v>
      </c>
    </row>
    <row r="50" spans="1:115" ht="19.5" hidden="1" thickBot="1">
      <c r="A50" s="4">
        <v>51</v>
      </c>
      <c r="B50" s="4" t="s">
        <v>7</v>
      </c>
      <c r="C50" s="4"/>
      <c r="D50" s="199"/>
      <c r="E50" s="199"/>
      <c r="F50" s="199"/>
      <c r="G50" s="19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22"/>
      <c r="AA50" s="231"/>
      <c r="AB50" s="231"/>
      <c r="AC50" s="122">
        <f>SUM(H50:Z50)</f>
        <v>0</v>
      </c>
      <c r="AD50" s="231"/>
      <c r="AE50" s="129"/>
      <c r="AF50" s="27"/>
      <c r="AG50" s="126"/>
      <c r="AH50" s="126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70"/>
      <c r="CK50" s="251"/>
      <c r="CL50" s="71"/>
      <c r="CM50" s="237"/>
      <c r="CN50" s="36">
        <f>SUM(AG50:CK50)</f>
        <v>0</v>
      </c>
      <c r="CO50" s="117"/>
      <c r="CP50" s="27"/>
      <c r="CQ50" s="157"/>
      <c r="CR50" s="157"/>
      <c r="CS50" s="27"/>
      <c r="CT50" s="26"/>
      <c r="CU50" s="26"/>
      <c r="CV50" s="26"/>
      <c r="CW50" s="26"/>
      <c r="CX50" s="129"/>
      <c r="CY50" s="72"/>
      <c r="CZ50" s="72"/>
      <c r="DA50" s="72"/>
      <c r="DB50" s="72"/>
      <c r="DC50" s="72"/>
      <c r="DD50" s="157"/>
      <c r="DE50" s="178"/>
      <c r="DF50" s="178"/>
      <c r="DG50" s="178"/>
      <c r="DH50" s="178"/>
      <c r="DI50" s="157"/>
      <c r="DJ50" s="157"/>
      <c r="DK50" s="190" t="e">
        <f>D50+F50+AC50+AE50+CN50+CP50+CR50+CT50+CV50+#REF!+CX50+DD50+DF50+DH50</f>
        <v>#REF!</v>
      </c>
    </row>
    <row r="51" spans="1:115" ht="19.5" hidden="1" thickBot="1">
      <c r="A51" s="150">
        <v>52</v>
      </c>
      <c r="B51" s="135" t="s">
        <v>58</v>
      </c>
      <c r="C51" s="229"/>
      <c r="D51" s="201"/>
      <c r="E51" s="201"/>
      <c r="F51" s="201"/>
      <c r="G51" s="20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89"/>
      <c r="AA51" s="123"/>
      <c r="AB51" s="123"/>
      <c r="AC51" s="123">
        <f>SUM(H51:Z51)</f>
        <v>0</v>
      </c>
      <c r="AD51" s="123"/>
      <c r="AE51" s="136"/>
      <c r="AF51" s="94"/>
      <c r="AG51" s="92"/>
      <c r="AH51" s="93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1"/>
      <c r="CK51" s="150"/>
      <c r="CL51" s="92"/>
      <c r="CM51" s="93"/>
      <c r="CN51" s="92">
        <f>SUM(AG51:CK51)</f>
        <v>0</v>
      </c>
      <c r="CO51" s="94"/>
      <c r="CP51" s="93"/>
      <c r="CQ51" s="92"/>
      <c r="CR51" s="92"/>
      <c r="CS51" s="93"/>
      <c r="CT51" s="91"/>
      <c r="CU51" s="91"/>
      <c r="CV51" s="91"/>
      <c r="CW51" s="91"/>
      <c r="CX51" s="136"/>
      <c r="CY51" s="94"/>
      <c r="CZ51" s="94"/>
      <c r="DA51" s="94"/>
      <c r="DB51" s="94"/>
      <c r="DC51" s="94"/>
      <c r="DD51" s="92"/>
      <c r="DE51" s="150"/>
      <c r="DF51" s="150"/>
      <c r="DG51" s="150"/>
      <c r="DH51" s="150"/>
      <c r="DI51" s="92"/>
      <c r="DJ51" s="92"/>
      <c r="DK51" s="191" t="e">
        <f>D51+F51+AC51+AE51+CN51+CP51+CR51+CT51+CV51+#REF!+CX51+DD51+DF51+DH51</f>
        <v>#REF!</v>
      </c>
    </row>
    <row r="52" spans="1:115" ht="19.5" hidden="1" thickBot="1">
      <c r="A52" s="95">
        <v>53</v>
      </c>
      <c r="B52" s="96" t="s">
        <v>57</v>
      </c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6"/>
      <c r="AA52" s="124"/>
      <c r="AB52" s="124"/>
      <c r="AC52" s="124">
        <f>SUM(H52:Z52)</f>
        <v>0</v>
      </c>
      <c r="AD52" s="124"/>
      <c r="AE52" s="137"/>
      <c r="AF52" s="101"/>
      <c r="AG52" s="99"/>
      <c r="AH52" s="100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8"/>
      <c r="CK52" s="179"/>
      <c r="CL52" s="99"/>
      <c r="CM52" s="100"/>
      <c r="CN52" s="99">
        <f>SUM(AG52:CK52)</f>
        <v>0</v>
      </c>
      <c r="CO52" s="101"/>
      <c r="CP52" s="100"/>
      <c r="CQ52" s="99"/>
      <c r="CR52" s="99"/>
      <c r="CS52" s="100"/>
      <c r="CT52" s="98"/>
      <c r="CU52" s="98"/>
      <c r="CV52" s="98"/>
      <c r="CW52" s="98"/>
      <c r="CX52" s="137"/>
      <c r="CY52" s="101"/>
      <c r="CZ52" s="101"/>
      <c r="DA52" s="101"/>
      <c r="DB52" s="101"/>
      <c r="DC52" s="101"/>
      <c r="DD52" s="99"/>
      <c r="DE52" s="179"/>
      <c r="DF52" s="179"/>
      <c r="DG52" s="179"/>
      <c r="DH52" s="179"/>
      <c r="DI52" s="99"/>
      <c r="DJ52" s="99"/>
      <c r="DK52" s="192" t="e">
        <f>D52+F52+AC52+AE52+CN52+CP52+CR52+CT52+CV52+#REF!+CX52+DD52+DF52+DH52</f>
        <v>#REF!</v>
      </c>
    </row>
    <row r="53" spans="1:115" ht="19.5" hidden="1" thickBot="1">
      <c r="A53" s="107">
        <v>54</v>
      </c>
      <c r="B53" s="103" t="s">
        <v>59</v>
      </c>
      <c r="C53" s="103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  <c r="AA53" s="125"/>
      <c r="AB53" s="125"/>
      <c r="AC53" s="125">
        <f>SUM(H53:Z53)</f>
        <v>0</v>
      </c>
      <c r="AD53" s="125"/>
      <c r="AE53" s="138"/>
      <c r="AF53" s="106"/>
      <c r="AG53" s="109"/>
      <c r="AH53" s="109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4"/>
      <c r="CK53" s="180"/>
      <c r="CL53" s="105"/>
      <c r="CM53" s="106"/>
      <c r="CN53" s="105">
        <f>SUM(AG53:CK53)</f>
        <v>0</v>
      </c>
      <c r="CO53" s="108"/>
      <c r="CP53" s="106"/>
      <c r="CQ53" s="105"/>
      <c r="CR53" s="105"/>
      <c r="CS53" s="106"/>
      <c r="CT53" s="104"/>
      <c r="CU53" s="104"/>
      <c r="CV53" s="104"/>
      <c r="CW53" s="104"/>
      <c r="CX53" s="138"/>
      <c r="CY53" s="108"/>
      <c r="CZ53" s="108"/>
      <c r="DA53" s="108"/>
      <c r="DB53" s="108"/>
      <c r="DC53" s="108"/>
      <c r="DD53" s="105"/>
      <c r="DE53" s="180"/>
      <c r="DF53" s="180"/>
      <c r="DG53" s="180"/>
      <c r="DH53" s="180"/>
      <c r="DI53" s="105"/>
      <c r="DJ53" s="105"/>
      <c r="DK53" s="193" t="e">
        <f>D53+F53+AC53+AE53+CN53+CP53+CR53+CT53+CV53+#REF!+CX53+DD53+DF53+DH53</f>
        <v>#REF!</v>
      </c>
    </row>
    <row r="54" spans="1:117" ht="19.5" thickBot="1">
      <c r="A54" s="110">
        <v>55</v>
      </c>
      <c r="B54" s="111" t="s">
        <v>4</v>
      </c>
      <c r="C54" s="112">
        <f>C39+C40+C41+C44+C45+C51+C52+C53</f>
        <v>23151091.74265</v>
      </c>
      <c r="D54" s="112">
        <f>D39+D40+D41+D44+D45+D51+D52+D53</f>
        <v>3567787.4606000003</v>
      </c>
      <c r="E54" s="112">
        <f>E39+E40+E41+E44+E45+E51+E52+E53</f>
        <v>5002209.4123599995</v>
      </c>
      <c r="F54" s="112">
        <f>F39+F40+F41+F44+F45+F51+F52+F53</f>
        <v>808443.1022000001</v>
      </c>
      <c r="G54" s="112">
        <f>G39+G40+G41+G44+G45+G51+G52+G53</f>
        <v>0</v>
      </c>
      <c r="H54" s="112">
        <f aca="true" t="shared" si="10" ref="H54:BS54">H39+H40+H41+H44+H45+H51+H52+H53</f>
        <v>2081.04</v>
      </c>
      <c r="I54" s="112">
        <f t="shared" si="10"/>
        <v>0</v>
      </c>
      <c r="J54" s="112">
        <f t="shared" si="10"/>
        <v>0</v>
      </c>
      <c r="K54" s="112">
        <f t="shared" si="10"/>
        <v>0</v>
      </c>
      <c r="L54" s="112">
        <f t="shared" si="10"/>
        <v>371207</v>
      </c>
      <c r="M54" s="112">
        <f t="shared" si="10"/>
        <v>0</v>
      </c>
      <c r="N54" s="112">
        <f t="shared" si="10"/>
        <v>0</v>
      </c>
      <c r="O54" s="112">
        <f t="shared" si="10"/>
        <v>0</v>
      </c>
      <c r="P54" s="112">
        <f t="shared" si="10"/>
        <v>0</v>
      </c>
      <c r="Q54" s="112">
        <f t="shared" si="10"/>
        <v>0</v>
      </c>
      <c r="R54" s="112">
        <f t="shared" si="10"/>
        <v>3870</v>
      </c>
      <c r="S54" s="112">
        <f t="shared" si="10"/>
        <v>0</v>
      </c>
      <c r="T54" s="112">
        <f t="shared" si="10"/>
        <v>27968</v>
      </c>
      <c r="U54" s="112">
        <f t="shared" si="10"/>
        <v>0</v>
      </c>
      <c r="V54" s="112">
        <f t="shared" si="10"/>
        <v>0</v>
      </c>
      <c r="W54" s="112">
        <f t="shared" si="10"/>
        <v>0</v>
      </c>
      <c r="X54" s="112">
        <f t="shared" si="10"/>
        <v>0</v>
      </c>
      <c r="Y54" s="112">
        <f t="shared" si="10"/>
        <v>0</v>
      </c>
      <c r="Z54" s="112">
        <f t="shared" si="10"/>
        <v>0</v>
      </c>
      <c r="AA54" s="112">
        <f t="shared" si="10"/>
        <v>0</v>
      </c>
      <c r="AB54" s="112">
        <f t="shared" si="10"/>
        <v>405126.04000000004</v>
      </c>
      <c r="AC54" s="113">
        <f t="shared" si="10"/>
        <v>405126.04000000004</v>
      </c>
      <c r="AD54" s="113">
        <f t="shared" si="10"/>
        <v>0</v>
      </c>
      <c r="AE54" s="114">
        <f t="shared" si="10"/>
        <v>-88487.8</v>
      </c>
      <c r="AF54" s="114">
        <f t="shared" si="10"/>
        <v>0</v>
      </c>
      <c r="AG54" s="160">
        <f t="shared" si="10"/>
        <v>16314.969999999998</v>
      </c>
      <c r="AH54" s="160">
        <f t="shared" si="10"/>
        <v>0</v>
      </c>
      <c r="AI54" s="112">
        <f t="shared" si="10"/>
        <v>0</v>
      </c>
      <c r="AJ54" s="112">
        <f t="shared" si="10"/>
        <v>0</v>
      </c>
      <c r="AK54" s="112">
        <f t="shared" si="10"/>
        <v>0</v>
      </c>
      <c r="AL54" s="112">
        <f t="shared" si="10"/>
        <v>0</v>
      </c>
      <c r="AM54" s="112">
        <f t="shared" si="10"/>
        <v>0</v>
      </c>
      <c r="AN54" s="112">
        <f t="shared" si="10"/>
        <v>0</v>
      </c>
      <c r="AO54" s="112">
        <f t="shared" si="10"/>
        <v>1296</v>
      </c>
      <c r="AP54" s="112">
        <f t="shared" si="10"/>
        <v>0</v>
      </c>
      <c r="AQ54" s="112">
        <f t="shared" si="10"/>
        <v>0</v>
      </c>
      <c r="AR54" s="112">
        <f t="shared" si="10"/>
        <v>0</v>
      </c>
      <c r="AS54" s="112">
        <f t="shared" si="10"/>
        <v>0</v>
      </c>
      <c r="AT54" s="112">
        <f t="shared" si="10"/>
        <v>0</v>
      </c>
      <c r="AU54" s="112">
        <f t="shared" si="10"/>
        <v>0</v>
      </c>
      <c r="AV54" s="112">
        <f t="shared" si="10"/>
        <v>0</v>
      </c>
      <c r="AW54" s="112">
        <f t="shared" si="10"/>
        <v>0</v>
      </c>
      <c r="AX54" s="112">
        <f t="shared" si="10"/>
        <v>0</v>
      </c>
      <c r="AY54" s="112">
        <f t="shared" si="10"/>
        <v>0</v>
      </c>
      <c r="AZ54" s="112">
        <f t="shared" si="10"/>
        <v>0</v>
      </c>
      <c r="BA54" s="112">
        <f t="shared" si="10"/>
        <v>0</v>
      </c>
      <c r="BB54" s="112">
        <f t="shared" si="10"/>
        <v>0</v>
      </c>
      <c r="BC54" s="112">
        <f t="shared" si="10"/>
        <v>0</v>
      </c>
      <c r="BD54" s="112">
        <f t="shared" si="10"/>
        <v>0</v>
      </c>
      <c r="BE54" s="112">
        <f t="shared" si="10"/>
        <v>0</v>
      </c>
      <c r="BF54" s="112">
        <f t="shared" si="10"/>
        <v>0</v>
      </c>
      <c r="BG54" s="112">
        <f t="shared" si="10"/>
        <v>0</v>
      </c>
      <c r="BH54" s="112">
        <f t="shared" si="10"/>
        <v>0</v>
      </c>
      <c r="BI54" s="112">
        <f t="shared" si="10"/>
        <v>0</v>
      </c>
      <c r="BJ54" s="112">
        <f t="shared" si="10"/>
        <v>0</v>
      </c>
      <c r="BK54" s="112">
        <f t="shared" si="10"/>
        <v>0</v>
      </c>
      <c r="BL54" s="112">
        <f t="shared" si="10"/>
        <v>0</v>
      </c>
      <c r="BM54" s="112">
        <f t="shared" si="10"/>
        <v>0</v>
      </c>
      <c r="BN54" s="112">
        <f t="shared" si="10"/>
        <v>0</v>
      </c>
      <c r="BO54" s="112">
        <f t="shared" si="10"/>
        <v>0</v>
      </c>
      <c r="BP54" s="112">
        <f t="shared" si="10"/>
        <v>0</v>
      </c>
      <c r="BQ54" s="112">
        <f t="shared" si="10"/>
        <v>0</v>
      </c>
      <c r="BR54" s="112">
        <f t="shared" si="10"/>
        <v>0</v>
      </c>
      <c r="BS54" s="112">
        <f t="shared" si="10"/>
        <v>0</v>
      </c>
      <c r="BT54" s="112">
        <f aca="true" t="shared" si="11" ref="BT54:DJ54">BT39+BT40+BT41+BT44+BT45+BT51+BT52+BT53</f>
        <v>0</v>
      </c>
      <c r="BU54" s="112">
        <f t="shared" si="11"/>
        <v>0</v>
      </c>
      <c r="BV54" s="112">
        <f t="shared" si="11"/>
        <v>0</v>
      </c>
      <c r="BW54" s="112">
        <f t="shared" si="11"/>
        <v>0</v>
      </c>
      <c r="BX54" s="112">
        <f t="shared" si="11"/>
        <v>0</v>
      </c>
      <c r="BY54" s="112">
        <f t="shared" si="11"/>
        <v>0</v>
      </c>
      <c r="BZ54" s="112">
        <f t="shared" si="11"/>
        <v>0</v>
      </c>
      <c r="CA54" s="112">
        <f t="shared" si="11"/>
        <v>0</v>
      </c>
      <c r="CB54" s="112">
        <f t="shared" si="11"/>
        <v>0</v>
      </c>
      <c r="CC54" s="112">
        <f t="shared" si="11"/>
        <v>5030</v>
      </c>
      <c r="CD54" s="112">
        <f t="shared" si="11"/>
        <v>0</v>
      </c>
      <c r="CE54" s="112">
        <f t="shared" si="11"/>
        <v>0</v>
      </c>
      <c r="CF54" s="112">
        <f t="shared" si="11"/>
        <v>0</v>
      </c>
      <c r="CG54" s="112">
        <f t="shared" si="11"/>
        <v>0</v>
      </c>
      <c r="CH54" s="112">
        <f t="shared" si="11"/>
        <v>0</v>
      </c>
      <c r="CI54" s="112">
        <f t="shared" si="11"/>
        <v>0</v>
      </c>
      <c r="CJ54" s="112">
        <f t="shared" si="11"/>
        <v>0</v>
      </c>
      <c r="CK54" s="139">
        <f t="shared" si="11"/>
        <v>17.74</v>
      </c>
      <c r="CL54" s="139">
        <f t="shared" si="11"/>
        <v>0</v>
      </c>
      <c r="CM54" s="139">
        <f t="shared" si="11"/>
        <v>22658.71</v>
      </c>
      <c r="CN54" s="160">
        <f t="shared" si="11"/>
        <v>22658.71</v>
      </c>
      <c r="CO54" s="160">
        <f t="shared" si="11"/>
        <v>0</v>
      </c>
      <c r="CP54" s="116">
        <f t="shared" si="11"/>
        <v>1190</v>
      </c>
      <c r="CQ54" s="160">
        <f t="shared" si="11"/>
        <v>0</v>
      </c>
      <c r="CR54" s="160">
        <f t="shared" si="11"/>
        <v>-18886.920000000002</v>
      </c>
      <c r="CS54" s="160">
        <f t="shared" si="11"/>
        <v>0</v>
      </c>
      <c r="CT54" s="113">
        <f t="shared" si="11"/>
        <v>21120.46</v>
      </c>
      <c r="CU54" s="113">
        <f t="shared" si="11"/>
        <v>0</v>
      </c>
      <c r="CV54" s="113">
        <f t="shared" si="11"/>
        <v>14165.157079999999</v>
      </c>
      <c r="CW54" s="113">
        <f t="shared" si="11"/>
        <v>0</v>
      </c>
      <c r="CX54" s="114">
        <f t="shared" si="11"/>
        <v>0</v>
      </c>
      <c r="CY54" s="114">
        <f t="shared" si="11"/>
        <v>0</v>
      </c>
      <c r="CZ54" s="114">
        <f t="shared" si="11"/>
        <v>2189.26894</v>
      </c>
      <c r="DA54" s="114">
        <f t="shared" si="11"/>
        <v>0</v>
      </c>
      <c r="DB54" s="114">
        <f t="shared" si="11"/>
        <v>0</v>
      </c>
      <c r="DC54" s="114">
        <f t="shared" si="11"/>
        <v>0</v>
      </c>
      <c r="DD54" s="160">
        <f t="shared" si="11"/>
        <v>2664</v>
      </c>
      <c r="DE54" s="160">
        <f t="shared" si="11"/>
        <v>0</v>
      </c>
      <c r="DF54" s="139">
        <f t="shared" si="11"/>
        <v>0</v>
      </c>
      <c r="DG54" s="139">
        <f t="shared" si="11"/>
        <v>0</v>
      </c>
      <c r="DH54" s="139">
        <f t="shared" si="11"/>
        <v>0</v>
      </c>
      <c r="DI54" s="139">
        <f t="shared" si="11"/>
        <v>28153301.155009996</v>
      </c>
      <c r="DJ54" s="160">
        <f t="shared" si="11"/>
        <v>4737969.478820001</v>
      </c>
      <c r="DK54" s="160">
        <f>DK40+DK39</f>
        <v>32891270.633830003</v>
      </c>
      <c r="DM54" s="195">
        <f>DK54-DL56</f>
        <v>0.00383000448346138</v>
      </c>
    </row>
    <row r="55" spans="8:115" ht="18.75">
      <c r="H55" s="18">
        <v>2081.04</v>
      </c>
      <c r="T55" s="18">
        <v>27968</v>
      </c>
      <c r="Z55" s="19"/>
      <c r="AA55" s="19"/>
      <c r="AB55" s="19"/>
      <c r="AC55" s="19"/>
      <c r="AD55" s="19"/>
      <c r="DK55" s="220">
        <f>DI54+DJ54</f>
        <v>32891270.633829996</v>
      </c>
    </row>
    <row r="56" spans="12:116" ht="18.75">
      <c r="L56" s="18">
        <v>45280</v>
      </c>
      <c r="CT56" s="21"/>
      <c r="CU56" s="21"/>
      <c r="DK56" s="220">
        <f>C54+D54+E54+F54+AC54+AE54+CN54+CP54+CR54+CT54+CV54+CZ54+DD54</f>
        <v>32891270.633829996</v>
      </c>
      <c r="DL56">
        <v>32891270.63</v>
      </c>
    </row>
  </sheetData>
  <sheetProtection/>
  <mergeCells count="61">
    <mergeCell ref="AF4:CK4"/>
    <mergeCell ref="CL4:CN5"/>
    <mergeCell ref="CO4:CP5"/>
    <mergeCell ref="CW4:DB4"/>
    <mergeCell ref="DC4:DD5"/>
    <mergeCell ref="DE4:DF5"/>
    <mergeCell ref="A1:DK3"/>
    <mergeCell ref="A4:A5"/>
    <mergeCell ref="B4:B5"/>
    <mergeCell ref="C4:D5"/>
    <mergeCell ref="E4:F5"/>
    <mergeCell ref="G4:AC4"/>
    <mergeCell ref="AD4:AE5"/>
    <mergeCell ref="DG4:DH5"/>
    <mergeCell ref="DI4:DK5"/>
    <mergeCell ref="G5:H5"/>
    <mergeCell ref="I5:J5"/>
    <mergeCell ref="K5:L5"/>
    <mergeCell ref="M5:N5"/>
    <mergeCell ref="O5:P5"/>
    <mergeCell ref="Q5:R5"/>
    <mergeCell ref="S5:T5"/>
    <mergeCell ref="U5:V5"/>
    <mergeCell ref="AT5:AU5"/>
    <mergeCell ref="AV5:AW5"/>
    <mergeCell ref="W5:X5"/>
    <mergeCell ref="Y5:Z5"/>
    <mergeCell ref="AA5:AC5"/>
    <mergeCell ref="AF5:AG5"/>
    <mergeCell ref="AH5:AI5"/>
    <mergeCell ref="AJ5:AK5"/>
    <mergeCell ref="AL5:AM5"/>
    <mergeCell ref="AN5:AO5"/>
    <mergeCell ref="AP5:AQ5"/>
    <mergeCell ref="AR5:AS5"/>
    <mergeCell ref="BR5:BS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DA5:DB5"/>
    <mergeCell ref="BV5:BW5"/>
    <mergeCell ref="BX5:BY5"/>
    <mergeCell ref="BZ5:CA5"/>
    <mergeCell ref="CB5:CC5"/>
    <mergeCell ref="CD5:CE5"/>
    <mergeCell ref="CF5:CG5"/>
    <mergeCell ref="CQ4:CR5"/>
    <mergeCell ref="CS4:CT5"/>
    <mergeCell ref="CU4:CV5"/>
    <mergeCell ref="CH5:CI5"/>
    <mergeCell ref="CJ5:CK5"/>
    <mergeCell ref="CW5:CX5"/>
    <mergeCell ref="CY5:CZ5"/>
  </mergeCells>
  <printOptions horizontalCentered="1"/>
  <pageMargins left="0.19" right="0.2" top="0.36" bottom="0.1968503937007874" header="0.2" footer="0.5118110236220472"/>
  <pageSetup horizontalDpi="600" verticalDpi="600" orientation="portrait" paperSize="9" scale="32" r:id="rId1"/>
  <colBreaks count="5" manualBreakCount="5">
    <brk id="16" max="53" man="1"/>
    <brk id="49" max="53" man="1"/>
    <brk id="67" max="53" man="1"/>
    <brk id="79" max="53" man="1"/>
    <brk id="9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O7"/>
  <sheetViews>
    <sheetView tabSelected="1"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IV7"/>
    </sheetView>
  </sheetViews>
  <sheetFormatPr defaultColWidth="9.00390625" defaultRowHeight="12.75"/>
  <cols>
    <col min="1" max="1" width="5.00390625" style="18" customWidth="1"/>
    <col min="2" max="2" width="38.375" style="18" customWidth="1"/>
    <col min="3" max="3" width="18.00390625" style="18" customWidth="1"/>
    <col min="4" max="5" width="17.75390625" style="18" customWidth="1"/>
    <col min="6" max="7" width="16.875" style="18" customWidth="1"/>
    <col min="8" max="8" width="17.125" style="18" customWidth="1"/>
    <col min="9" max="17" width="14.75390625" style="18" customWidth="1"/>
    <col min="18" max="18" width="15.75390625" style="18" customWidth="1"/>
    <col min="19" max="19" width="14.625" style="18" customWidth="1"/>
    <col min="20" max="20" width="14.75390625" style="18" customWidth="1"/>
    <col min="21" max="21" width="16.25390625" style="18" customWidth="1"/>
    <col min="22" max="22" width="16.00390625" style="18" customWidth="1"/>
    <col min="23" max="23" width="17.00390625" style="18" customWidth="1"/>
    <col min="24" max="24" width="16.375" style="18" customWidth="1"/>
    <col min="25" max="25" width="14.75390625" style="18" customWidth="1"/>
    <col min="26" max="29" width="14.75390625" style="20" customWidth="1"/>
    <col min="30" max="30" width="17.75390625" style="20" customWidth="1"/>
    <col min="31" max="32" width="17.25390625" style="18" customWidth="1"/>
    <col min="33" max="34" width="18.125" style="18" customWidth="1"/>
    <col min="35" max="35" width="17.125" style="18" customWidth="1"/>
    <col min="36" max="36" width="16.25390625" style="18" customWidth="1"/>
    <col min="37" max="37" width="16.875" style="18" customWidth="1"/>
    <col min="38" max="38" width="14.75390625" style="18" customWidth="1"/>
    <col min="39" max="40" width="16.00390625" style="18" customWidth="1"/>
    <col min="41" max="41" width="14.75390625" style="18" customWidth="1"/>
    <col min="42" max="42" width="15.75390625" style="18" customWidth="1"/>
    <col min="43" max="44" width="16.25390625" style="18" customWidth="1"/>
    <col min="45" max="45" width="17.00390625" style="18" customWidth="1"/>
    <col min="46" max="47" width="15.875" style="18" customWidth="1"/>
    <col min="48" max="48" width="16.875" style="18" customWidth="1"/>
    <col min="49" max="50" width="16.00390625" style="18" customWidth="1"/>
    <col min="51" max="51" width="16.25390625" style="18" customWidth="1"/>
    <col min="52" max="52" width="15.875" style="18" customWidth="1"/>
    <col min="53" max="54" width="18.00390625" style="18" customWidth="1"/>
    <col min="55" max="55" width="16.25390625" style="18" customWidth="1"/>
    <col min="56" max="66" width="14.75390625" style="18" customWidth="1"/>
    <col min="67" max="67" width="16.125" style="18" customWidth="1"/>
    <col min="68" max="93" width="14.75390625" style="18" customWidth="1"/>
    <col min="94" max="95" width="17.125" style="18" customWidth="1"/>
    <col min="96" max="96" width="16.625" style="18" customWidth="1"/>
    <col min="97" max="97" width="14.75390625" style="18" customWidth="1"/>
    <col min="98" max="99" width="16.25390625" style="18" customWidth="1"/>
    <col min="100" max="101" width="16.875" style="18" customWidth="1"/>
    <col min="102" max="107" width="15.375" style="18" customWidth="1"/>
    <col min="108" max="109" width="16.375" style="18" customWidth="1"/>
    <col min="110" max="112" width="14.75390625" style="18" customWidth="1"/>
    <col min="113" max="113" width="16.25390625" style="18" customWidth="1"/>
    <col min="114" max="114" width="17.00390625" style="18" customWidth="1"/>
    <col min="115" max="115" width="18.125" style="18" customWidth="1"/>
    <col min="116" max="116" width="17.25390625" style="0" customWidth="1"/>
    <col min="117" max="117" width="14.625" style="0" customWidth="1"/>
  </cols>
  <sheetData>
    <row r="1" spans="1:115" ht="18" customHeight="1">
      <c r="A1" s="281" t="s">
        <v>113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2"/>
    </row>
    <row r="2" spans="1:115" ht="12.75" customHeight="1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2"/>
    </row>
    <row r="3" spans="1:115" ht="18.75" customHeight="1" hidden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2"/>
    </row>
    <row r="4" spans="1:115" s="2" customFormat="1" ht="45.75" customHeight="1">
      <c r="A4" s="289" t="s">
        <v>1</v>
      </c>
      <c r="B4" s="284" t="s">
        <v>0</v>
      </c>
      <c r="C4" s="284" t="s">
        <v>78</v>
      </c>
      <c r="D4" s="284"/>
      <c r="E4" s="284" t="s">
        <v>79</v>
      </c>
      <c r="F4" s="284"/>
      <c r="G4" s="286" t="s">
        <v>92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/>
      <c r="AD4" s="265" t="s">
        <v>70</v>
      </c>
      <c r="AE4" s="266"/>
      <c r="AF4" s="265" t="s">
        <v>80</v>
      </c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66"/>
      <c r="CL4" s="271" t="s">
        <v>73</v>
      </c>
      <c r="CM4" s="271"/>
      <c r="CN4" s="266"/>
      <c r="CO4" s="265" t="s">
        <v>81</v>
      </c>
      <c r="CP4" s="266"/>
      <c r="CQ4" s="265" t="s">
        <v>82</v>
      </c>
      <c r="CR4" s="266"/>
      <c r="CS4" s="265" t="s">
        <v>83</v>
      </c>
      <c r="CT4" s="266"/>
      <c r="CU4" s="265" t="s">
        <v>84</v>
      </c>
      <c r="CV4" s="266"/>
      <c r="CW4" s="269" t="s">
        <v>85</v>
      </c>
      <c r="CX4" s="270"/>
      <c r="CY4" s="270"/>
      <c r="CZ4" s="270"/>
      <c r="DA4" s="270"/>
      <c r="DB4" s="270"/>
      <c r="DC4" s="291" t="s">
        <v>86</v>
      </c>
      <c r="DD4" s="292"/>
      <c r="DE4" s="265" t="s">
        <v>87</v>
      </c>
      <c r="DF4" s="266"/>
      <c r="DG4" s="265" t="s">
        <v>88</v>
      </c>
      <c r="DH4" s="266"/>
      <c r="DI4" s="265" t="s">
        <v>4</v>
      </c>
      <c r="DJ4" s="271"/>
      <c r="DK4" s="279"/>
    </row>
    <row r="5" spans="1:115" s="2" customFormat="1" ht="84.75" customHeight="1" thickBot="1">
      <c r="A5" s="290"/>
      <c r="B5" s="285"/>
      <c r="C5" s="285"/>
      <c r="D5" s="285"/>
      <c r="E5" s="285"/>
      <c r="F5" s="285"/>
      <c r="G5" s="273" t="s">
        <v>62</v>
      </c>
      <c r="H5" s="274"/>
      <c r="I5" s="273" t="s">
        <v>60</v>
      </c>
      <c r="J5" s="274"/>
      <c r="K5" s="273" t="s">
        <v>108</v>
      </c>
      <c r="L5" s="274"/>
      <c r="M5" s="273" t="s">
        <v>61</v>
      </c>
      <c r="N5" s="274"/>
      <c r="O5" s="263" t="s">
        <v>109</v>
      </c>
      <c r="P5" s="264"/>
      <c r="Q5" s="273" t="s">
        <v>111</v>
      </c>
      <c r="R5" s="274"/>
      <c r="S5" s="273" t="s">
        <v>35</v>
      </c>
      <c r="T5" s="274"/>
      <c r="U5" s="273" t="s">
        <v>65</v>
      </c>
      <c r="V5" s="274"/>
      <c r="W5" s="273" t="s">
        <v>64</v>
      </c>
      <c r="X5" s="274"/>
      <c r="Y5" s="273" t="s">
        <v>63</v>
      </c>
      <c r="Z5" s="274"/>
      <c r="AA5" s="273" t="s">
        <v>71</v>
      </c>
      <c r="AB5" s="278"/>
      <c r="AC5" s="274"/>
      <c r="AD5" s="267"/>
      <c r="AE5" s="268"/>
      <c r="AF5" s="273" t="s">
        <v>77</v>
      </c>
      <c r="AG5" s="274"/>
      <c r="AH5" s="273" t="s">
        <v>39</v>
      </c>
      <c r="AI5" s="274"/>
      <c r="AJ5" s="273" t="s">
        <v>40</v>
      </c>
      <c r="AK5" s="274"/>
      <c r="AL5" s="273" t="s">
        <v>66</v>
      </c>
      <c r="AM5" s="274"/>
      <c r="AN5" s="273" t="s">
        <v>36</v>
      </c>
      <c r="AO5" s="274"/>
      <c r="AP5" s="275" t="s">
        <v>107</v>
      </c>
      <c r="AQ5" s="276"/>
      <c r="AR5" s="273" t="s">
        <v>41</v>
      </c>
      <c r="AS5" s="274"/>
      <c r="AT5" s="273" t="s">
        <v>42</v>
      </c>
      <c r="AU5" s="274"/>
      <c r="AV5" s="273" t="s">
        <v>43</v>
      </c>
      <c r="AW5" s="274"/>
      <c r="AX5" s="273" t="s">
        <v>44</v>
      </c>
      <c r="AY5" s="274"/>
      <c r="AZ5" s="273" t="s">
        <v>45</v>
      </c>
      <c r="BA5" s="274"/>
      <c r="BB5" s="273" t="s">
        <v>103</v>
      </c>
      <c r="BC5" s="274"/>
      <c r="BD5" s="273" t="s">
        <v>49</v>
      </c>
      <c r="BE5" s="274"/>
      <c r="BF5" s="263" t="s">
        <v>102</v>
      </c>
      <c r="BG5" s="264"/>
      <c r="BH5" s="273" t="s">
        <v>50</v>
      </c>
      <c r="BI5" s="274"/>
      <c r="BJ5" s="273" t="s">
        <v>51</v>
      </c>
      <c r="BK5" s="274"/>
      <c r="BL5" s="273" t="s">
        <v>52</v>
      </c>
      <c r="BM5" s="274"/>
      <c r="BN5" s="273" t="s">
        <v>53</v>
      </c>
      <c r="BO5" s="274"/>
      <c r="BP5" s="273" t="s">
        <v>46</v>
      </c>
      <c r="BQ5" s="274"/>
      <c r="BR5" s="273" t="s">
        <v>47</v>
      </c>
      <c r="BS5" s="274"/>
      <c r="BT5" s="273" t="s">
        <v>48</v>
      </c>
      <c r="BU5" s="274"/>
      <c r="BV5" s="273" t="s">
        <v>37</v>
      </c>
      <c r="BW5" s="274"/>
      <c r="BX5" s="273" t="s">
        <v>38</v>
      </c>
      <c r="BY5" s="274"/>
      <c r="BZ5" s="273" t="s">
        <v>67</v>
      </c>
      <c r="CA5" s="274"/>
      <c r="CB5" s="273" t="s">
        <v>101</v>
      </c>
      <c r="CC5" s="274"/>
      <c r="CD5" s="273" t="s">
        <v>106</v>
      </c>
      <c r="CE5" s="274"/>
      <c r="CF5" s="273" t="s">
        <v>68</v>
      </c>
      <c r="CG5" s="274"/>
      <c r="CH5" s="273" t="s">
        <v>69</v>
      </c>
      <c r="CI5" s="274"/>
      <c r="CJ5" s="273" t="s">
        <v>100</v>
      </c>
      <c r="CK5" s="277"/>
      <c r="CL5" s="272"/>
      <c r="CM5" s="272"/>
      <c r="CN5" s="268"/>
      <c r="CO5" s="267"/>
      <c r="CP5" s="268"/>
      <c r="CQ5" s="267"/>
      <c r="CR5" s="268"/>
      <c r="CS5" s="267"/>
      <c r="CT5" s="268"/>
      <c r="CU5" s="267"/>
      <c r="CV5" s="268"/>
      <c r="CW5" s="275" t="s">
        <v>91</v>
      </c>
      <c r="CX5" s="276"/>
      <c r="CY5" s="275" t="s">
        <v>89</v>
      </c>
      <c r="CZ5" s="276"/>
      <c r="DA5" s="263" t="s">
        <v>90</v>
      </c>
      <c r="DB5" s="264"/>
      <c r="DC5" s="293"/>
      <c r="DD5" s="294"/>
      <c r="DE5" s="267"/>
      <c r="DF5" s="268"/>
      <c r="DG5" s="267"/>
      <c r="DH5" s="268"/>
      <c r="DI5" s="267"/>
      <c r="DJ5" s="272"/>
      <c r="DK5" s="280"/>
    </row>
    <row r="6" spans="1:115" s="2" customFormat="1" ht="19.5" thickBot="1">
      <c r="A6" s="232"/>
      <c r="B6" s="154" t="s">
        <v>94</v>
      </c>
      <c r="C6" s="154" t="s">
        <v>95</v>
      </c>
      <c r="D6" s="154" t="s">
        <v>96</v>
      </c>
      <c r="E6" s="154" t="s">
        <v>95</v>
      </c>
      <c r="F6" s="154" t="s">
        <v>96</v>
      </c>
      <c r="G6" s="154" t="s">
        <v>95</v>
      </c>
      <c r="H6" s="154" t="s">
        <v>96</v>
      </c>
      <c r="I6" s="154" t="s">
        <v>95</v>
      </c>
      <c r="J6" s="154" t="s">
        <v>96</v>
      </c>
      <c r="K6" s="154" t="s">
        <v>95</v>
      </c>
      <c r="L6" s="154" t="s">
        <v>96</v>
      </c>
      <c r="M6" s="154" t="s">
        <v>95</v>
      </c>
      <c r="N6" s="154" t="s">
        <v>96</v>
      </c>
      <c r="O6" s="154" t="s">
        <v>95</v>
      </c>
      <c r="P6" s="154" t="s">
        <v>96</v>
      </c>
      <c r="Q6" s="154" t="s">
        <v>95</v>
      </c>
      <c r="R6" s="154" t="s">
        <v>96</v>
      </c>
      <c r="S6" s="154" t="s">
        <v>95</v>
      </c>
      <c r="T6" s="154" t="s">
        <v>96</v>
      </c>
      <c r="U6" s="154" t="s">
        <v>95</v>
      </c>
      <c r="V6" s="154" t="s">
        <v>96</v>
      </c>
      <c r="W6" s="154" t="s">
        <v>95</v>
      </c>
      <c r="X6" s="154" t="s">
        <v>96</v>
      </c>
      <c r="Y6" s="154" t="s">
        <v>95</v>
      </c>
      <c r="Z6" s="154" t="s">
        <v>96</v>
      </c>
      <c r="AA6" s="154" t="s">
        <v>95</v>
      </c>
      <c r="AB6" s="154" t="s">
        <v>96</v>
      </c>
      <c r="AC6" s="233" t="s">
        <v>97</v>
      </c>
      <c r="AD6" s="154" t="s">
        <v>95</v>
      </c>
      <c r="AE6" s="154" t="s">
        <v>96</v>
      </c>
      <c r="AF6" s="154" t="s">
        <v>95</v>
      </c>
      <c r="AG6" s="154" t="s">
        <v>96</v>
      </c>
      <c r="AH6" s="154" t="s">
        <v>95</v>
      </c>
      <c r="AI6" s="154" t="s">
        <v>96</v>
      </c>
      <c r="AJ6" s="154" t="s">
        <v>95</v>
      </c>
      <c r="AK6" s="154" t="s">
        <v>96</v>
      </c>
      <c r="AL6" s="154" t="s">
        <v>95</v>
      </c>
      <c r="AM6" s="154" t="s">
        <v>96</v>
      </c>
      <c r="AN6" s="154" t="s">
        <v>95</v>
      </c>
      <c r="AO6" s="154" t="s">
        <v>96</v>
      </c>
      <c r="AP6" s="154" t="s">
        <v>95</v>
      </c>
      <c r="AQ6" s="154" t="s">
        <v>96</v>
      </c>
      <c r="AR6" s="154" t="s">
        <v>95</v>
      </c>
      <c r="AS6" s="154" t="s">
        <v>96</v>
      </c>
      <c r="AT6" s="154" t="s">
        <v>95</v>
      </c>
      <c r="AU6" s="154" t="s">
        <v>96</v>
      </c>
      <c r="AV6" s="154" t="s">
        <v>95</v>
      </c>
      <c r="AW6" s="154" t="s">
        <v>96</v>
      </c>
      <c r="AX6" s="154" t="s">
        <v>95</v>
      </c>
      <c r="AY6" s="154" t="s">
        <v>96</v>
      </c>
      <c r="AZ6" s="154" t="s">
        <v>95</v>
      </c>
      <c r="BA6" s="154" t="s">
        <v>96</v>
      </c>
      <c r="BB6" s="154" t="s">
        <v>95</v>
      </c>
      <c r="BC6" s="154" t="s">
        <v>96</v>
      </c>
      <c r="BD6" s="154" t="s">
        <v>95</v>
      </c>
      <c r="BE6" s="154" t="s">
        <v>96</v>
      </c>
      <c r="BF6" s="154" t="s">
        <v>95</v>
      </c>
      <c r="BG6" s="154" t="s">
        <v>96</v>
      </c>
      <c r="BH6" s="154" t="s">
        <v>95</v>
      </c>
      <c r="BI6" s="154" t="s">
        <v>96</v>
      </c>
      <c r="BJ6" s="154" t="s">
        <v>95</v>
      </c>
      <c r="BK6" s="154" t="s">
        <v>96</v>
      </c>
      <c r="BL6" s="154" t="s">
        <v>95</v>
      </c>
      <c r="BM6" s="154" t="s">
        <v>96</v>
      </c>
      <c r="BN6" s="154" t="s">
        <v>95</v>
      </c>
      <c r="BO6" s="154" t="s">
        <v>96</v>
      </c>
      <c r="BP6" s="154" t="s">
        <v>95</v>
      </c>
      <c r="BQ6" s="154" t="s">
        <v>96</v>
      </c>
      <c r="BR6" s="154" t="s">
        <v>95</v>
      </c>
      <c r="BS6" s="154" t="s">
        <v>96</v>
      </c>
      <c r="BT6" s="154" t="s">
        <v>95</v>
      </c>
      <c r="BU6" s="154" t="s">
        <v>96</v>
      </c>
      <c r="BV6" s="154" t="s">
        <v>95</v>
      </c>
      <c r="BW6" s="154" t="s">
        <v>96</v>
      </c>
      <c r="BX6" s="154" t="s">
        <v>95</v>
      </c>
      <c r="BY6" s="154" t="s">
        <v>96</v>
      </c>
      <c r="BZ6" s="154" t="s">
        <v>95</v>
      </c>
      <c r="CA6" s="154" t="s">
        <v>96</v>
      </c>
      <c r="CB6" s="154" t="s">
        <v>95</v>
      </c>
      <c r="CC6" s="154" t="s">
        <v>96</v>
      </c>
      <c r="CD6" s="154" t="s">
        <v>95</v>
      </c>
      <c r="CE6" s="154" t="s">
        <v>96</v>
      </c>
      <c r="CF6" s="154" t="s">
        <v>95</v>
      </c>
      <c r="CG6" s="154" t="s">
        <v>96</v>
      </c>
      <c r="CH6" s="154" t="s">
        <v>95</v>
      </c>
      <c r="CI6" s="154" t="s">
        <v>96</v>
      </c>
      <c r="CJ6" s="154" t="s">
        <v>95</v>
      </c>
      <c r="CK6" s="154" t="s">
        <v>96</v>
      </c>
      <c r="CL6" s="154" t="s">
        <v>95</v>
      </c>
      <c r="CM6" s="154" t="s">
        <v>96</v>
      </c>
      <c r="CN6" s="234" t="s">
        <v>98</v>
      </c>
      <c r="CO6" s="154" t="s">
        <v>95</v>
      </c>
      <c r="CP6" s="155" t="s">
        <v>96</v>
      </c>
      <c r="CQ6" s="154" t="s">
        <v>95</v>
      </c>
      <c r="CR6" s="155" t="s">
        <v>96</v>
      </c>
      <c r="CS6" s="154" t="s">
        <v>95</v>
      </c>
      <c r="CT6" s="155" t="s">
        <v>96</v>
      </c>
      <c r="CU6" s="154" t="s">
        <v>95</v>
      </c>
      <c r="CV6" s="155" t="s">
        <v>96</v>
      </c>
      <c r="CW6" s="154" t="s">
        <v>95</v>
      </c>
      <c r="CX6" s="155" t="s">
        <v>96</v>
      </c>
      <c r="CY6" s="154" t="s">
        <v>95</v>
      </c>
      <c r="CZ6" s="155" t="s">
        <v>96</v>
      </c>
      <c r="DA6" s="154" t="s">
        <v>95</v>
      </c>
      <c r="DB6" s="155" t="s">
        <v>96</v>
      </c>
      <c r="DC6" s="154" t="s">
        <v>95</v>
      </c>
      <c r="DD6" s="155" t="s">
        <v>96</v>
      </c>
      <c r="DE6" s="154" t="s">
        <v>95</v>
      </c>
      <c r="DF6" s="155" t="s">
        <v>96</v>
      </c>
      <c r="DG6" s="154" t="s">
        <v>95</v>
      </c>
      <c r="DH6" s="155" t="s">
        <v>96</v>
      </c>
      <c r="DI6" s="154" t="s">
        <v>95</v>
      </c>
      <c r="DJ6" s="155" t="s">
        <v>96</v>
      </c>
      <c r="DK6" s="227" t="s">
        <v>99</v>
      </c>
    </row>
    <row r="7" spans="1:119" ht="18.75">
      <c r="A7" s="6">
        <v>24</v>
      </c>
      <c r="B7" s="6" t="s">
        <v>10</v>
      </c>
      <c r="C7" s="260">
        <f>квітень!C30+травень!C30+червень!C30</f>
        <v>3060057.2463</v>
      </c>
      <c r="D7" s="260">
        <f>квітень!D30+травень!D30+червень!D30</f>
        <v>427530.8858</v>
      </c>
      <c r="E7" s="260">
        <f>квітень!E30+травень!E30+червень!E30</f>
        <v>636446.01331</v>
      </c>
      <c r="F7" s="260">
        <f>квітень!F30+травень!F30+червень!F30</f>
        <v>98278.2285</v>
      </c>
      <c r="G7" s="152">
        <f>квітень!G30+травень!G30+червень!G30</f>
        <v>0</v>
      </c>
      <c r="H7" s="152">
        <f>квітень!H30+травень!H30+червень!H30</f>
        <v>2189.12</v>
      </c>
      <c r="I7" s="152">
        <f>квітень!I30+травень!I30+червень!I30</f>
        <v>0</v>
      </c>
      <c r="J7" s="152">
        <f>квітень!J30+травень!J30+червень!J30</f>
        <v>0</v>
      </c>
      <c r="K7" s="152">
        <f>квітень!K30+травень!K30+червень!K30</f>
        <v>0</v>
      </c>
      <c r="L7" s="152">
        <f>квітень!L30+травень!L30+червень!L30</f>
        <v>19878.980000000003</v>
      </c>
      <c r="M7" s="152">
        <f>квітень!M30+травень!M30+червень!M30</f>
        <v>0</v>
      </c>
      <c r="N7" s="152">
        <f>квітень!N30+травень!N30+червень!N30</f>
        <v>0</v>
      </c>
      <c r="O7" s="152">
        <f>квітень!O30+травень!O30+червень!O30</f>
        <v>0</v>
      </c>
      <c r="P7" s="152">
        <f>квітень!P30+травень!P30+червень!P30</f>
        <v>0</v>
      </c>
      <c r="Q7" s="152">
        <f>квітень!Q30+травень!Q30+червень!Q30</f>
        <v>0</v>
      </c>
      <c r="R7" s="152">
        <f>квітень!R30+травень!R30+червень!R30</f>
        <v>0</v>
      </c>
      <c r="S7" s="152">
        <f>квітень!S30+травень!S30+червень!S30</f>
        <v>0</v>
      </c>
      <c r="T7" s="152">
        <f>квітень!T30+травень!T30+червень!T30</f>
        <v>874</v>
      </c>
      <c r="U7" s="152">
        <f>квітень!U30+травень!U30+червень!U30</f>
        <v>0</v>
      </c>
      <c r="V7" s="152">
        <f>квітень!V30+травень!V30+червень!V30</f>
        <v>0</v>
      </c>
      <c r="W7" s="152">
        <f>квітень!W30+травень!W30+червень!W30</f>
        <v>0</v>
      </c>
      <c r="X7" s="152">
        <f>квітень!X30+травень!X30+червень!X30</f>
        <v>0</v>
      </c>
      <c r="Y7" s="152">
        <f>квітень!Y30+травень!Y30+червень!Y30</f>
        <v>0</v>
      </c>
      <c r="Z7" s="152">
        <f>квітень!Z30+травень!Z30+червень!Z30</f>
        <v>0</v>
      </c>
      <c r="AA7" s="153">
        <f>G7+I7+K7+M7+O7+Q7+S7+U7+W7+Y7</f>
        <v>0</v>
      </c>
      <c r="AB7" s="153">
        <f>H7+J7+L7+N7+P7+R7+T7+V7+X7+Z7</f>
        <v>22942.100000000002</v>
      </c>
      <c r="AC7" s="153">
        <f>AA7+AB7</f>
        <v>22942.100000000002</v>
      </c>
      <c r="AD7" s="153">
        <f>квітень!AD30+травень!AD30+червень!AD30</f>
        <v>0</v>
      </c>
      <c r="AE7" s="262">
        <f>квітень!AE30+травень!AE30+червень!AE30</f>
        <v>-18534.5</v>
      </c>
      <c r="AF7" s="52">
        <f>квітень!AF30+травень!AF30+червень!AF30</f>
        <v>0</v>
      </c>
      <c r="AG7" s="244">
        <f>квітень!AG30+травень!AG30+червень!AG30</f>
        <v>1868.57</v>
      </c>
      <c r="AH7" s="66">
        <f>квітень!AH30+травень!AH30+червень!AH30</f>
        <v>0</v>
      </c>
      <c r="AI7" s="63">
        <f>квітень!AI30+травень!AI30+червень!AI30</f>
        <v>0</v>
      </c>
      <c r="AJ7" s="63">
        <f>квітень!AJ30+травень!AJ30+червень!AJ30</f>
        <v>0</v>
      </c>
      <c r="AK7" s="224">
        <f>квітень!AK30+травень!AK30+червень!AK30</f>
        <v>579</v>
      </c>
      <c r="AL7" s="63">
        <f>квітень!AL30+травень!AL30+червень!AL30</f>
        <v>0</v>
      </c>
      <c r="AM7" s="63">
        <f>квітень!AM30+травень!AM30+червень!AM30</f>
        <v>0</v>
      </c>
      <c r="AN7" s="63">
        <f>квітень!AN30+травень!AN30+червень!AN30</f>
        <v>0</v>
      </c>
      <c r="AO7" s="63">
        <f>квітень!AO30+травень!AO30+червень!AO30</f>
        <v>3138</v>
      </c>
      <c r="AP7" s="63">
        <f>квітень!AP30+травень!AP30+червень!AP30</f>
        <v>0</v>
      </c>
      <c r="AQ7" s="63">
        <f>квітень!AQ30+травень!AQ30+червень!AQ30</f>
        <v>0</v>
      </c>
      <c r="AR7" s="63">
        <f>квітень!AR30+травень!AR30+червень!AR30</f>
        <v>0</v>
      </c>
      <c r="AS7" s="63">
        <f>квітень!AS30+травень!AS30+червень!AS30</f>
        <v>0</v>
      </c>
      <c r="AT7" s="63">
        <f>квітень!AT30+травень!AT30+червень!AT30</f>
        <v>0</v>
      </c>
      <c r="AU7" s="63">
        <f>квітень!AU30+травень!AU30+червень!AU30</f>
        <v>0</v>
      </c>
      <c r="AV7" s="63">
        <f>квітень!AV30+травень!AV30+червень!AV30</f>
        <v>0</v>
      </c>
      <c r="AW7" s="63">
        <f>квітень!AW30+травень!AW30+червень!AW30</f>
        <v>0</v>
      </c>
      <c r="AX7" s="63">
        <f>квітень!AX30+травень!AX30+червень!AX30</f>
        <v>0</v>
      </c>
      <c r="AY7" s="63">
        <f>квітень!AY30+травень!AY30+червень!AY30</f>
        <v>0</v>
      </c>
      <c r="AZ7" s="63">
        <f>квітень!AZ30+травень!AZ30+червень!AZ30</f>
        <v>0</v>
      </c>
      <c r="BA7" s="63">
        <f>квітень!BA30+травень!BA30+червень!BA30</f>
        <v>0</v>
      </c>
      <c r="BB7" s="63">
        <f>квітень!BB30+травень!BB30+червень!BB30</f>
        <v>0</v>
      </c>
      <c r="BC7" s="63">
        <f>квітень!BC30+травень!BC30+червень!BC30</f>
        <v>0</v>
      </c>
      <c r="BD7" s="63">
        <f>квітень!BD30+травень!BD30+червень!BD30</f>
        <v>0</v>
      </c>
      <c r="BE7" s="224">
        <f>квітень!BE30+травень!BE30+червень!BE30</f>
        <v>0</v>
      </c>
      <c r="BF7" s="63">
        <f>квітень!BF30+травень!BF30+червень!BF30</f>
        <v>0</v>
      </c>
      <c r="BG7" s="63">
        <f>квітень!BG30+травень!BG30+червень!BG30</f>
        <v>0</v>
      </c>
      <c r="BH7" s="63">
        <f>квітень!BH30+травень!BH30+червень!BH30</f>
        <v>0</v>
      </c>
      <c r="BI7" s="63">
        <f>квітень!BI30+травень!BI30+червень!BI30</f>
        <v>0</v>
      </c>
      <c r="BJ7" s="63">
        <f>квітень!BJ30+травень!BJ30+червень!BJ30</f>
        <v>0</v>
      </c>
      <c r="BK7" s="63">
        <f>квітень!BK30+травень!BK30+червень!BK30</f>
        <v>0</v>
      </c>
      <c r="BL7" s="63">
        <f>квітень!BL30+травень!BL30+червень!BL30</f>
        <v>0</v>
      </c>
      <c r="BM7" s="63">
        <f>квітень!BM30+травень!BM30+червень!BM30</f>
        <v>0</v>
      </c>
      <c r="BN7" s="63">
        <f>квітень!BN30+травень!BN30+червень!BN30</f>
        <v>0</v>
      </c>
      <c r="BO7" s="63">
        <f>квітень!BO30+травень!BO30+червень!BO30</f>
        <v>0</v>
      </c>
      <c r="BP7" s="63">
        <f>квітень!BP30+травень!BP30+червень!BP30</f>
        <v>0</v>
      </c>
      <c r="BQ7" s="63">
        <f>квітень!BQ30+травень!BQ30+червень!BQ30</f>
        <v>0</v>
      </c>
      <c r="BR7" s="63">
        <f>квітень!BR30+травень!BR30+червень!BR30</f>
        <v>0</v>
      </c>
      <c r="BS7" s="63">
        <f>квітень!BS30+травень!BS30+червень!BS30</f>
        <v>0</v>
      </c>
      <c r="BT7" s="63">
        <f>квітень!BT30+травень!BT30+червень!BT30</f>
        <v>0</v>
      </c>
      <c r="BU7" s="63">
        <f>квітень!BU30+травень!BU30+червень!BU30</f>
        <v>0</v>
      </c>
      <c r="BV7" s="63">
        <f>квітень!BV30+травень!BV30+червень!BV30</f>
        <v>0</v>
      </c>
      <c r="BW7" s="63">
        <f>квітень!BW30+травень!BW30+червень!BW30</f>
        <v>0</v>
      </c>
      <c r="BX7" s="63">
        <f>квітень!BX30+травень!BX30+червень!BX30</f>
        <v>0</v>
      </c>
      <c r="BY7" s="63">
        <f>квітень!BY30+травень!BY30+червень!BY30</f>
        <v>0</v>
      </c>
      <c r="BZ7" s="63">
        <f>квітень!BZ30+травень!BZ30+червень!BZ30</f>
        <v>0</v>
      </c>
      <c r="CA7" s="63">
        <f>квітень!CA30+травень!CA30+червень!CA30</f>
        <v>0</v>
      </c>
      <c r="CB7" s="63">
        <f>квітень!CB30+травень!CB30+червень!CB30</f>
        <v>0</v>
      </c>
      <c r="CC7" s="63">
        <f>квітень!CC30+травень!CC30+червень!CC30</f>
        <v>0</v>
      </c>
      <c r="CD7" s="63">
        <f>квітень!CD30+травень!CD30+червень!CD30</f>
        <v>0</v>
      </c>
      <c r="CE7" s="63">
        <f>квітень!CE30+травень!CE30+червень!CE30</f>
        <v>5526.2</v>
      </c>
      <c r="CF7" s="63">
        <f>квітень!CF30+травень!CF30+червень!CF30</f>
        <v>0</v>
      </c>
      <c r="CG7" s="63">
        <f>квітень!CG30+травень!CG30+червень!CG30</f>
        <v>1307.65</v>
      </c>
      <c r="CH7" s="63">
        <f>квітень!CH30+травень!CH30+червень!CH30</f>
        <v>0</v>
      </c>
      <c r="CI7" s="63">
        <f>квітень!CI30+травень!CI30+червень!CI30</f>
        <v>0</v>
      </c>
      <c r="CJ7" s="63">
        <f>квітень!CJ30+травень!CJ30+червень!CJ30</f>
        <v>0</v>
      </c>
      <c r="CK7" s="63">
        <f>квітень!CK30+травень!CK30+червень!CK30</f>
        <v>0</v>
      </c>
      <c r="CL7" s="46">
        <f>AF7+AH7+AJ7+AL7+AN7+AP7+AR7+AT7+AV7+AX7+AZ7+BB7+BD7+BF7+BH7+BJ7+BL7+BN7+BP7+BR7+BT7+BV7+BX7+BZ7+CB7+CD7+CF7+CH7+CJ7</f>
        <v>0</v>
      </c>
      <c r="CM7" s="46">
        <f>AG7+AI7+AK7+AM7+AO7+AQ7+AS7+AU7+AW7+AY7+BA7+BC7+BE7+BG7+BI7+BK7+BM7+BO7+BQ7+BS7+BU7+BW7+BY7+CA7+CC7+CE7+CG7+CI7+CK7</f>
        <v>12419.42</v>
      </c>
      <c r="CN7" s="46">
        <f>CL7+CM7</f>
        <v>12419.42</v>
      </c>
      <c r="CO7" s="48">
        <v>0</v>
      </c>
      <c r="CP7" s="48">
        <f>квітень!CP30+травень!CP30+червень!CP30</f>
        <v>0</v>
      </c>
      <c r="CQ7" s="173">
        <f>квітень!CQ30+травень!CQ30+червень!CQ30</f>
        <v>0</v>
      </c>
      <c r="CR7" s="217">
        <f>квітень!CR30+травень!CR30+червень!CR30</f>
        <v>143110.7142</v>
      </c>
      <c r="CS7" s="52">
        <f>квітень!CS30+травень!CS30+червень!CS30</f>
        <v>0</v>
      </c>
      <c r="CT7" s="65">
        <f>квітень!CT30+травень!CT30+червень!CT30</f>
        <v>3368.5199999999995</v>
      </c>
      <c r="CU7" s="65">
        <f>квітень!CU30+травень!CU30+червень!CU30</f>
        <v>0</v>
      </c>
      <c r="CV7" s="152">
        <f>квітень!CV30+травень!CV30+червень!CV30</f>
        <v>9335.62992</v>
      </c>
      <c r="CW7" s="65">
        <f>квітень!CW30+травень!CW30+червень!CW30</f>
        <v>0</v>
      </c>
      <c r="CX7" s="128">
        <f>квітень!CX30+травень!CX30+червень!CX30</f>
        <v>0</v>
      </c>
      <c r="CY7" s="48">
        <f>квітень!CY30+травень!CY30+червень!CY30</f>
        <v>0</v>
      </c>
      <c r="CZ7" s="48">
        <f>квітень!CZ30+травень!CZ30+червень!CZ30</f>
        <v>81.69073999999999</v>
      </c>
      <c r="DA7" s="48">
        <f>квітень!DA30+травень!DA30+червень!DA30</f>
        <v>0</v>
      </c>
      <c r="DB7" s="48">
        <f>квітень!DB30+травень!DB30+червень!DB30</f>
        <v>0</v>
      </c>
      <c r="DC7" s="48">
        <f>квітень!DC30+травень!DC30+червень!DC30</f>
        <v>0</v>
      </c>
      <c r="DD7" s="46">
        <f>квітень!DD30+травень!DD30+червень!DD30</f>
        <v>0</v>
      </c>
      <c r="DE7" s="173">
        <f>квітень!DE30+травень!DE30+червень!DE30</f>
        <v>0</v>
      </c>
      <c r="DF7" s="173">
        <f>квітень!DF30+травень!DF30+червень!DF30</f>
        <v>0</v>
      </c>
      <c r="DG7" s="173">
        <f>квітень!DG30+травень!DG30+червень!DG30</f>
        <v>0</v>
      </c>
      <c r="DH7" s="173">
        <f>квітень!DH30+травень!DH30+червень!DH30</f>
        <v>0</v>
      </c>
      <c r="DI7" s="217">
        <f>C7+E7+AA7+AD7+CL7+CO7+CQ7+CS7+CU7+CW7+CY7+DA7+DC7+DE7+DG7</f>
        <v>3696503.25961</v>
      </c>
      <c r="DJ7" s="218">
        <f>D7+F7+AB7+AE7+CM7+CP7+CR7+CT7+CV7+CX7+CZ7+DB7+DD7+DF7+DH7</f>
        <v>698532.6891600001</v>
      </c>
      <c r="DK7" s="183">
        <f>DI7+DJ7</f>
        <v>4395035.94877</v>
      </c>
      <c r="DM7" s="195"/>
      <c r="DO7" s="195"/>
    </row>
  </sheetData>
  <sheetProtection/>
  <mergeCells count="61">
    <mergeCell ref="AF4:CK4"/>
    <mergeCell ref="CL4:CN5"/>
    <mergeCell ref="CO4:CP5"/>
    <mergeCell ref="CW4:DB4"/>
    <mergeCell ref="DC4:DD5"/>
    <mergeCell ref="DE4:DF5"/>
    <mergeCell ref="A1:DK3"/>
    <mergeCell ref="A4:A5"/>
    <mergeCell ref="B4:B5"/>
    <mergeCell ref="C4:D5"/>
    <mergeCell ref="E4:F5"/>
    <mergeCell ref="G4:AC4"/>
    <mergeCell ref="AD4:AE5"/>
    <mergeCell ref="DG4:DH5"/>
    <mergeCell ref="DI4:DK5"/>
    <mergeCell ref="G5:H5"/>
    <mergeCell ref="I5:J5"/>
    <mergeCell ref="K5:L5"/>
    <mergeCell ref="M5:N5"/>
    <mergeCell ref="O5:P5"/>
    <mergeCell ref="Q5:R5"/>
    <mergeCell ref="S5:T5"/>
    <mergeCell ref="U5:V5"/>
    <mergeCell ref="AT5:AU5"/>
    <mergeCell ref="AV5:AW5"/>
    <mergeCell ref="W5:X5"/>
    <mergeCell ref="Y5:Z5"/>
    <mergeCell ref="AA5:AC5"/>
    <mergeCell ref="AF5:AG5"/>
    <mergeCell ref="AH5:AI5"/>
    <mergeCell ref="AJ5:AK5"/>
    <mergeCell ref="AL5:AM5"/>
    <mergeCell ref="AN5:AO5"/>
    <mergeCell ref="AP5:AQ5"/>
    <mergeCell ref="AR5:AS5"/>
    <mergeCell ref="BR5:BS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DA5:DB5"/>
    <mergeCell ref="BV5:BW5"/>
    <mergeCell ref="BX5:BY5"/>
    <mergeCell ref="BZ5:CA5"/>
    <mergeCell ref="CB5:CC5"/>
    <mergeCell ref="CD5:CE5"/>
    <mergeCell ref="CF5:CG5"/>
    <mergeCell ref="CQ4:CR5"/>
    <mergeCell ref="CS4:CT5"/>
    <mergeCell ref="CU4:CV5"/>
    <mergeCell ref="CH5:CI5"/>
    <mergeCell ref="CJ5:CK5"/>
    <mergeCell ref="CW5:CX5"/>
    <mergeCell ref="CY5:CZ5"/>
  </mergeCells>
  <printOptions/>
  <pageMargins left="0.7" right="0.7" top="0.75" bottom="0.75" header="0.3" footer="0.3"/>
  <pageSetup horizontalDpi="600" verticalDpi="600" orientation="portrait" paperSize="9" scale="32" r:id="rId1"/>
  <colBreaks count="3" manualBreakCount="3">
    <brk id="16" max="65535" man="1"/>
    <brk id="49" max="55" man="1"/>
    <brk id="6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VAMPIRE</cp:lastModifiedBy>
  <cp:lastPrinted>2020-01-30T09:14:43Z</cp:lastPrinted>
  <dcterms:created xsi:type="dcterms:W3CDTF">2003-12-12T12:38:26Z</dcterms:created>
  <dcterms:modified xsi:type="dcterms:W3CDTF">2020-09-14T14:03:12Z</dcterms:modified>
  <cp:category/>
  <cp:version/>
  <cp:contentType/>
  <cp:contentStatus/>
</cp:coreProperties>
</file>